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755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295" i="1"/>
  <c r="Y292"/>
  <c r="Y288"/>
  <c r="Q102"/>
  <c r="Q111"/>
  <c r="Q103"/>
  <c r="Q104"/>
  <c r="Q105"/>
  <c r="Q106"/>
  <c r="Q107"/>
  <c r="Q108"/>
  <c r="Q109"/>
  <c r="Q110"/>
  <c r="N103"/>
  <c r="N104"/>
  <c r="N105"/>
  <c r="N106"/>
  <c r="N107"/>
  <c r="N108"/>
  <c r="N109"/>
  <c r="N110"/>
  <c r="N111"/>
  <c r="N102"/>
  <c r="AE251"/>
  <c r="AE239"/>
  <c r="AE246"/>
  <c r="AE245"/>
  <c r="N51"/>
  <c r="P51"/>
  <c r="P50"/>
  <c r="M49"/>
  <c r="M46"/>
  <c r="O46"/>
  <c r="AE282"/>
  <c r="AE290"/>
  <c r="AE289"/>
  <c r="AE288"/>
  <c r="AE283"/>
  <c r="AE252"/>
  <c r="P22"/>
  <c r="P23"/>
  <c r="P24"/>
  <c r="P25"/>
  <c r="P26"/>
  <c r="P27"/>
  <c r="P28"/>
  <c r="P29"/>
  <c r="N22"/>
  <c r="N23"/>
  <c r="N24"/>
  <c r="N25"/>
  <c r="N26"/>
  <c r="N27"/>
  <c r="N28"/>
  <c r="N29"/>
  <c r="M22"/>
  <c r="M23"/>
  <c r="M24"/>
  <c r="M25"/>
  <c r="M26"/>
  <c r="M27"/>
  <c r="M28"/>
  <c r="M29"/>
  <c r="P150"/>
  <c r="P149"/>
  <c r="N149"/>
  <c r="N150"/>
  <c r="M149"/>
  <c r="M150"/>
  <c r="P148"/>
  <c r="N148"/>
  <c r="O142"/>
  <c r="E191"/>
  <c r="E181"/>
  <c r="E185"/>
  <c r="Q121"/>
  <c r="M121"/>
  <c r="M116"/>
  <c r="M120"/>
  <c r="P118"/>
  <c r="P119"/>
  <c r="P120"/>
  <c r="P117"/>
  <c r="N117"/>
  <c r="M117"/>
  <c r="M118"/>
  <c r="M119"/>
  <c r="M101"/>
  <c r="N101"/>
  <c r="M102"/>
  <c r="M103"/>
  <c r="M104"/>
  <c r="M105"/>
  <c r="M106"/>
  <c r="M107"/>
  <c r="M108"/>
  <c r="E176"/>
  <c r="P96"/>
  <c r="P95"/>
  <c r="P94"/>
  <c r="N92"/>
  <c r="O92"/>
  <c r="M92"/>
  <c r="O91"/>
  <c r="N91"/>
  <c r="O90"/>
  <c r="N90"/>
  <c r="P89"/>
  <c r="N89"/>
  <c r="O84"/>
  <c r="N84"/>
  <c r="O83"/>
  <c r="M83"/>
  <c r="R82"/>
  <c r="P82"/>
  <c r="N82"/>
  <c r="P81"/>
  <c r="N81"/>
  <c r="M81"/>
  <c r="N80"/>
  <c r="P80"/>
  <c r="P74"/>
  <c r="N74"/>
  <c r="R72"/>
  <c r="R73"/>
  <c r="R75"/>
  <c r="R76"/>
  <c r="R77"/>
  <c r="R78"/>
  <c r="R79"/>
  <c r="P72"/>
  <c r="P73"/>
  <c r="P75"/>
  <c r="P76"/>
  <c r="P77"/>
  <c r="P78"/>
  <c r="P79"/>
  <c r="N72"/>
  <c r="N73"/>
  <c r="N75"/>
  <c r="N76"/>
  <c r="N77"/>
  <c r="N78"/>
  <c r="N79"/>
  <c r="N71"/>
  <c r="P71"/>
  <c r="R71"/>
  <c r="M84"/>
  <c r="M71"/>
  <c r="M72"/>
  <c r="M73"/>
  <c r="M74"/>
  <c r="M75"/>
  <c r="M76"/>
  <c r="M77"/>
  <c r="M78"/>
  <c r="M79"/>
  <c r="M80"/>
  <c r="M82"/>
  <c r="R68"/>
  <c r="P68"/>
  <c r="R67"/>
  <c r="P67"/>
  <c r="N67"/>
  <c r="P66"/>
  <c r="N66"/>
  <c r="P65"/>
  <c r="P64"/>
  <c r="R63"/>
  <c r="P63"/>
  <c r="N63"/>
  <c r="M63"/>
  <c r="R62"/>
  <c r="P62"/>
  <c r="N62"/>
  <c r="M62"/>
  <c r="R61"/>
  <c r="P61"/>
  <c r="N61"/>
  <c r="P60"/>
  <c r="N60"/>
  <c r="M58"/>
  <c r="M59"/>
  <c r="M60"/>
  <c r="M61"/>
  <c r="M64"/>
  <c r="M65"/>
  <c r="M66"/>
  <c r="M67"/>
  <c r="M68"/>
  <c r="M69"/>
  <c r="M70"/>
  <c r="M57"/>
  <c r="O59"/>
  <c r="E172"/>
  <c r="E193"/>
  <c r="N44"/>
  <c r="P44"/>
  <c r="P43"/>
  <c r="M43"/>
  <c r="N42"/>
  <c r="O42"/>
  <c r="N41"/>
  <c r="O41"/>
  <c r="P40"/>
  <c r="P37"/>
  <c r="P36"/>
  <c r="O35"/>
  <c r="N35"/>
  <c r="M34"/>
  <c r="O34"/>
  <c r="M33"/>
  <c r="O33"/>
  <c r="O31"/>
  <c r="P21"/>
  <c r="P31"/>
  <c r="AE298"/>
  <c r="AB298"/>
  <c r="AJ296"/>
  <c r="AI296"/>
  <c r="Y298"/>
  <c r="AB261"/>
  <c r="AJ259"/>
  <c r="AJ243"/>
  <c r="T153"/>
  <c r="R153"/>
  <c r="Q153"/>
  <c r="O153"/>
  <c r="E153"/>
  <c r="P151"/>
  <c r="N151"/>
  <c r="M151"/>
  <c r="M148"/>
  <c r="P147"/>
  <c r="N147"/>
  <c r="M147"/>
  <c r="P146"/>
  <c r="N146"/>
  <c r="M146"/>
  <c r="P145"/>
  <c r="N145"/>
  <c r="M145"/>
  <c r="P144"/>
  <c r="N144"/>
  <c r="M144"/>
  <c r="P143"/>
  <c r="N143"/>
  <c r="M143"/>
  <c r="N142"/>
  <c r="M142"/>
  <c r="P141"/>
  <c r="N141"/>
  <c r="M141"/>
  <c r="P140"/>
  <c r="N140"/>
  <c r="M140"/>
  <c r="P139"/>
  <c r="N139"/>
  <c r="M139"/>
  <c r="P138"/>
  <c r="N138"/>
  <c r="M138"/>
  <c r="P137"/>
  <c r="N137"/>
  <c r="M137"/>
  <c r="P136"/>
  <c r="N136"/>
  <c r="M136"/>
  <c r="T134"/>
  <c r="R134"/>
  <c r="Q134"/>
  <c r="O134"/>
  <c r="E134"/>
  <c r="P132"/>
  <c r="N132"/>
  <c r="M132"/>
  <c r="P131"/>
  <c r="N131"/>
  <c r="M131"/>
  <c r="P130"/>
  <c r="N130"/>
  <c r="M130"/>
  <c r="P129"/>
  <c r="N129"/>
  <c r="M129"/>
  <c r="P128"/>
  <c r="N128"/>
  <c r="M128"/>
  <c r="P127"/>
  <c r="N127"/>
  <c r="M127"/>
  <c r="P126"/>
  <c r="N126"/>
  <c r="M126"/>
  <c r="P125"/>
  <c r="N125"/>
  <c r="M125"/>
  <c r="T123"/>
  <c r="R123"/>
  <c r="O123"/>
  <c r="E123"/>
  <c r="P123"/>
  <c r="N121"/>
  <c r="N120"/>
  <c r="N119"/>
  <c r="S123"/>
  <c r="N118"/>
  <c r="Q116"/>
  <c r="Q123"/>
  <c r="N116"/>
  <c r="M123"/>
  <c r="S114"/>
  <c r="R114"/>
  <c r="P114"/>
  <c r="O114"/>
  <c r="E114"/>
  <c r="M112"/>
  <c r="N112"/>
  <c r="M111"/>
  <c r="M110"/>
  <c r="M109"/>
  <c r="Q114"/>
  <c r="M100"/>
  <c r="N100"/>
  <c r="T155"/>
  <c r="E98"/>
  <c r="N96"/>
  <c r="M96"/>
  <c r="N95"/>
  <c r="M95"/>
  <c r="N94"/>
  <c r="M94"/>
  <c r="P93"/>
  <c r="N93"/>
  <c r="M93"/>
  <c r="M91"/>
  <c r="M90"/>
  <c r="M89"/>
  <c r="P88"/>
  <c r="N88"/>
  <c r="M88"/>
  <c r="Q86"/>
  <c r="E86"/>
  <c r="R70"/>
  <c r="P70"/>
  <c r="N70"/>
  <c r="R69"/>
  <c r="P69"/>
  <c r="N69"/>
  <c r="N68"/>
  <c r="N65"/>
  <c r="N64"/>
  <c r="N59"/>
  <c r="R58"/>
  <c r="P58"/>
  <c r="N58"/>
  <c r="R57"/>
  <c r="P57"/>
  <c r="N57"/>
  <c r="E55"/>
  <c r="M53"/>
  <c r="N53"/>
  <c r="P52"/>
  <c r="M52"/>
  <c r="N52"/>
  <c r="M51"/>
  <c r="N50"/>
  <c r="M50"/>
  <c r="P49"/>
  <c r="N49"/>
  <c r="P48"/>
  <c r="N48"/>
  <c r="M48"/>
  <c r="P47"/>
  <c r="N47"/>
  <c r="M47"/>
  <c r="M45"/>
  <c r="M44"/>
  <c r="N43"/>
  <c r="M42"/>
  <c r="M41"/>
  <c r="N40"/>
  <c r="M40"/>
  <c r="P39"/>
  <c r="N39"/>
  <c r="M39"/>
  <c r="P38"/>
  <c r="N38"/>
  <c r="M38"/>
  <c r="N37"/>
  <c r="M37"/>
  <c r="N36"/>
  <c r="M36"/>
  <c r="M35"/>
  <c r="E31"/>
  <c r="N21"/>
  <c r="M21"/>
  <c r="AI273"/>
  <c r="Z288"/>
  <c r="Z295"/>
  <c r="Z292"/>
  <c r="AF282"/>
  <c r="AF283"/>
  <c r="AF289"/>
  <c r="AF288"/>
  <c r="AF290"/>
  <c r="M134"/>
  <c r="M114"/>
  <c r="M98"/>
  <c r="N98"/>
  <c r="O98"/>
  <c r="O55"/>
  <c r="R86"/>
  <c r="R155"/>
  <c r="R195"/>
  <c r="AA260"/>
  <c r="M153"/>
  <c r="P153"/>
  <c r="N153"/>
  <c r="N55"/>
  <c r="E155"/>
  <c r="M55"/>
  <c r="N134"/>
  <c r="P134"/>
  <c r="S155"/>
  <c r="N123"/>
  <c r="N114"/>
  <c r="O86"/>
  <c r="M86"/>
  <c r="P86"/>
  <c r="P55"/>
  <c r="N31"/>
  <c r="M31"/>
  <c r="Q31"/>
  <c r="Q155"/>
  <c r="Q195"/>
  <c r="AA246"/>
  <c r="AE261"/>
  <c r="N86"/>
  <c r="P98"/>
  <c r="Z298"/>
  <c r="E195"/>
  <c r="Y261"/>
  <c r="AF298"/>
  <c r="M155"/>
  <c r="AF246"/>
  <c r="AF239"/>
  <c r="O155"/>
  <c r="O195"/>
  <c r="AA245"/>
  <c r="AI236"/>
  <c r="M195"/>
  <c r="AF251"/>
  <c r="AF245"/>
  <c r="P155"/>
  <c r="P195"/>
  <c r="AA251"/>
  <c r="AF252"/>
  <c r="N155"/>
  <c r="N195"/>
  <c r="AA238"/>
  <c r="AA244"/>
  <c r="AA261"/>
  <c r="Y238"/>
  <c r="AI243"/>
  <c r="AI256"/>
  <c r="AI259"/>
  <c r="AI249"/>
  <c r="AA237"/>
  <c r="AF261"/>
  <c r="Y237"/>
  <c r="Z238"/>
  <c r="Z237"/>
  <c r="Y245"/>
  <c r="Y260"/>
  <c r="Z260"/>
  <c r="Y246"/>
  <c r="Z246"/>
  <c r="Y251"/>
  <c r="Z251"/>
  <c r="Y244"/>
  <c r="Z245"/>
  <c r="Z244"/>
  <c r="Z261"/>
</calcChain>
</file>

<file path=xl/sharedStrings.xml><?xml version="1.0" encoding="utf-8"?>
<sst xmlns="http://schemas.openxmlformats.org/spreadsheetml/2006/main" count="1213" uniqueCount="181">
  <si>
    <t>Додаток  6</t>
  </si>
  <si>
    <t xml:space="preserve"> </t>
  </si>
  <si>
    <t>до Інструкції з проектування, технічного приймання,</t>
  </si>
  <si>
    <r>
      <t>обліку та оцінки якості лісокультурних об</t>
    </r>
    <r>
      <rPr>
        <sz val="7"/>
        <rFont val="Arial Narrow"/>
        <family val="2"/>
        <charset val="204"/>
      </rPr>
      <t>’</t>
    </r>
    <r>
      <rPr>
        <sz val="7"/>
        <rFont val="Times New Roman"/>
        <family val="1"/>
        <charset val="204"/>
      </rPr>
      <t>єктів</t>
    </r>
  </si>
  <si>
    <t>Форма 05</t>
  </si>
  <si>
    <t>ПОГОДЖЕНО</t>
  </si>
  <si>
    <t>ЗАТВЕРДЖУЮ</t>
  </si>
  <si>
    <t>Перший заступник начальника Київського обласного  та по м.Києву УЛМГ</t>
  </si>
  <si>
    <t>Директор ДП"Іванківський  лісгосп"</t>
  </si>
  <si>
    <t>___________________ ___________ Р.В. Гузенко</t>
  </si>
  <si>
    <t>_________________ О.М.Калапац</t>
  </si>
  <si>
    <t xml:space="preserve"> __________________ _________ року</t>
  </si>
  <si>
    <r>
      <rPr>
        <u/>
        <sz val="10"/>
        <color indexed="8"/>
        <rFont val="Times New Roman"/>
        <family val="1"/>
        <charset val="204"/>
      </rPr>
      <t xml:space="preserve">         </t>
    </r>
    <r>
      <rPr>
        <sz val="10"/>
        <color indexed="8"/>
        <rFont val="Times New Roman"/>
        <family val="1"/>
        <charset val="204"/>
      </rPr>
      <t xml:space="preserve">  </t>
    </r>
    <r>
      <rPr>
        <u/>
        <sz val="10"/>
        <color indexed="8"/>
        <rFont val="Times New Roman"/>
        <family val="1"/>
        <charset val="204"/>
      </rPr>
      <t xml:space="preserve">                            </t>
    </r>
    <r>
      <rPr>
        <sz val="10"/>
        <color indexed="8"/>
        <rFont val="Times New Roman"/>
        <family val="1"/>
        <charset val="204"/>
      </rPr>
      <t xml:space="preserve">  _________ року</t>
    </r>
  </si>
  <si>
    <t>ЗВЕДЕНА</t>
  </si>
  <si>
    <t>відомість проектів лісових культур, лісових плантацій і природного поновлення</t>
  </si>
  <si>
    <r>
      <t xml:space="preserve">Категорія лісових культур   </t>
    </r>
    <r>
      <rPr>
        <i/>
        <u/>
        <sz val="10"/>
        <color indexed="8"/>
        <rFont val="Times New Roman"/>
        <family val="1"/>
        <charset val="204"/>
      </rPr>
      <t xml:space="preserve">       лісові культури на землях, що надані в постійне користування                                                        </t>
    </r>
  </si>
  <si>
    <t>Місце знаходження (урочище,землекористувач,село,район,місцева назва ділянки),структурний підрозділ</t>
  </si>
  <si>
    <t>№ проекту</t>
  </si>
  <si>
    <t>Квартал</t>
  </si>
  <si>
    <t>Виділ</t>
  </si>
  <si>
    <t>Площа (до 0,1 га)</t>
  </si>
  <si>
    <t>Головні породи</t>
  </si>
  <si>
    <t>Тип лісорослиних умов</t>
  </si>
  <si>
    <t>Категорія лісокультурної площі</t>
  </si>
  <si>
    <t>Способи</t>
  </si>
  <si>
    <t>Розмі           щення</t>
  </si>
  <si>
    <t>Схема змішування</t>
  </si>
  <si>
    <t>Потреба у садивному матеріалі</t>
  </si>
  <si>
    <t>Примітки</t>
  </si>
  <si>
    <t>обробіток грунту</t>
  </si>
  <si>
    <t>створення лісових культур</t>
  </si>
  <si>
    <t>всього тис. шт., кг</t>
  </si>
  <si>
    <t>в т.ч. за головними породами</t>
  </si>
  <si>
    <t>Сз</t>
  </si>
  <si>
    <t>Дз</t>
  </si>
  <si>
    <t>Бп</t>
  </si>
  <si>
    <t>Дпн</t>
  </si>
  <si>
    <t>айва</t>
  </si>
  <si>
    <t>Клг</t>
  </si>
  <si>
    <t>Дз кг</t>
  </si>
  <si>
    <t>А. Лісові культури</t>
  </si>
  <si>
    <t>Білоберезьке</t>
  </si>
  <si>
    <t>А2С</t>
  </si>
  <si>
    <t>зруб 2017</t>
  </si>
  <si>
    <t>мех.ПКЛ-70</t>
  </si>
  <si>
    <t>руч.під меч</t>
  </si>
  <si>
    <t>2,0х0,6</t>
  </si>
  <si>
    <t>4рСз1рДпн</t>
  </si>
  <si>
    <t>В2ДС</t>
  </si>
  <si>
    <t>С3ГДС</t>
  </si>
  <si>
    <t>Жеревське</t>
  </si>
  <si>
    <t>4рСз1рДз</t>
  </si>
  <si>
    <t>С2ГДС</t>
  </si>
  <si>
    <t>4рСз1рБп</t>
  </si>
  <si>
    <t>В3ДС</t>
  </si>
  <si>
    <t>10рСз</t>
  </si>
  <si>
    <t>8рСз2рБп</t>
  </si>
  <si>
    <t>Леонівське</t>
  </si>
  <si>
    <t>5рСз1рБп+ч</t>
  </si>
  <si>
    <t>5рСз1рДз</t>
  </si>
  <si>
    <t>3,0х0,6</t>
  </si>
  <si>
    <t>10рДз</t>
  </si>
  <si>
    <t xml:space="preserve">Макарівське </t>
  </si>
  <si>
    <t>7рСз3рБп</t>
  </si>
  <si>
    <t>С2ГД</t>
  </si>
  <si>
    <t>Обуховицьке</t>
  </si>
  <si>
    <t>Оранське</t>
  </si>
  <si>
    <t xml:space="preserve">  Розважівське </t>
  </si>
  <si>
    <t>Розважівське</t>
  </si>
  <si>
    <t>Феневицьке</t>
  </si>
  <si>
    <t>5рСз1рБп</t>
  </si>
  <si>
    <t>Всього</t>
  </si>
  <si>
    <t>Б. Лісові плантації</t>
  </si>
  <si>
    <t>В. Природне поновлення</t>
  </si>
  <si>
    <t>Разом</t>
  </si>
  <si>
    <r>
      <t xml:space="preserve">Категорія лісових культур   </t>
    </r>
    <r>
      <rPr>
        <i/>
        <u/>
        <sz val="10"/>
        <color indexed="8"/>
        <rFont val="Times New Roman"/>
        <family val="1"/>
        <charset val="204"/>
      </rPr>
      <t xml:space="preserve">  лісові культури на землях, що надані  в постійне користування</t>
    </r>
  </si>
  <si>
    <t xml:space="preserve">                                 у тому числі:  ЛІСОВІ   КУЛЬТУРИ</t>
  </si>
  <si>
    <t>1. За головними породами</t>
  </si>
  <si>
    <t>2. За типами лісорослиних умов</t>
  </si>
  <si>
    <t>3.  За категоріями лісокультурної площі</t>
  </si>
  <si>
    <t>№ п/п</t>
  </si>
  <si>
    <t>Порода</t>
  </si>
  <si>
    <t>Площа</t>
  </si>
  <si>
    <t>%</t>
  </si>
  <si>
    <t>Витрати матеріалу</t>
  </si>
  <si>
    <t>садивного, тис. шт.</t>
  </si>
  <si>
    <t>посівного, кг.</t>
  </si>
  <si>
    <t>ТЛУ</t>
  </si>
  <si>
    <t>Площа, га</t>
  </si>
  <si>
    <t>Категорія</t>
  </si>
  <si>
    <t>Зруб</t>
  </si>
  <si>
    <t>Всього хвойних</t>
  </si>
  <si>
    <r>
      <t>А</t>
    </r>
    <r>
      <rPr>
        <sz val="6"/>
        <color indexed="8"/>
        <rFont val="Times New Roman"/>
        <family val="1"/>
        <charset val="204"/>
      </rPr>
      <t>0</t>
    </r>
  </si>
  <si>
    <t>Галявини і пустирі</t>
  </si>
  <si>
    <t>Сосна звичайна</t>
  </si>
  <si>
    <r>
      <t>А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</si>
  <si>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Згарища</t>
  </si>
  <si>
    <t>Сосна Палласа</t>
  </si>
  <si>
    <r>
      <t>А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</si>
  <si>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Загиблі ліс. культури</t>
  </si>
  <si>
    <t xml:space="preserve">Ялина </t>
  </si>
  <si>
    <r>
      <t>А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</si>
  <si>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Рідколісся</t>
  </si>
  <si>
    <t>Ялиця</t>
  </si>
  <si>
    <r>
      <t>А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</si>
  <si>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t>Малоціні насадження</t>
  </si>
  <si>
    <t>Модрина</t>
  </si>
  <si>
    <r>
      <t>А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</si>
  <si>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Інші</t>
  </si>
  <si>
    <r>
      <t>В</t>
    </r>
    <r>
      <rPr>
        <sz val="6"/>
        <color indexed="8"/>
        <rFont val="Times New Roman"/>
        <family val="1"/>
        <charset val="204"/>
      </rPr>
      <t>0</t>
    </r>
  </si>
  <si>
    <t>РАЗОМ</t>
  </si>
  <si>
    <t>Всього листяних</t>
  </si>
  <si>
    <r>
      <t>В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</si>
  <si>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Дуб звичайний</t>
  </si>
  <si>
    <r>
      <t>В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</si>
  <si>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Дуб північний</t>
  </si>
  <si>
    <r>
      <t>В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</si>
  <si>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4. За сезонами створення</t>
  </si>
  <si>
    <t>Ясен звичайний</t>
  </si>
  <si>
    <r>
      <t>В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</si>
  <si>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t xml:space="preserve">Бук </t>
  </si>
  <si>
    <r>
      <t>В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</si>
  <si>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Сезон</t>
  </si>
  <si>
    <t xml:space="preserve">Липа </t>
  </si>
  <si>
    <r>
      <t>С</t>
    </r>
    <r>
      <rPr>
        <sz val="6"/>
        <color indexed="8"/>
        <rFont val="Times New Roman"/>
        <family val="1"/>
        <charset val="204"/>
      </rPr>
      <t>0</t>
    </r>
  </si>
  <si>
    <t>Весна</t>
  </si>
  <si>
    <t>Клен</t>
  </si>
  <si>
    <r>
      <t>С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</si>
  <si>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Осінь</t>
  </si>
  <si>
    <t>Береза</t>
  </si>
  <si>
    <r>
      <t>С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</si>
  <si>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Горіх</t>
  </si>
  <si>
    <r>
      <t>С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</si>
  <si>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Тополя</t>
  </si>
  <si>
    <r>
      <t>С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</si>
  <si>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t>5. За методами створення</t>
  </si>
  <si>
    <t>Верба</t>
  </si>
  <si>
    <r>
      <t>С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</si>
  <si>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Метод</t>
  </si>
  <si>
    <t>Вільха</t>
  </si>
  <si>
    <r>
      <t>D</t>
    </r>
    <r>
      <rPr>
        <sz val="6"/>
        <color indexed="8"/>
        <rFont val="Times New Roman"/>
        <family val="1"/>
        <charset val="204"/>
      </rPr>
      <t>0</t>
    </r>
  </si>
  <si>
    <t>Механізоване садіння</t>
  </si>
  <si>
    <t>Робінія звичайна</t>
  </si>
  <si>
    <r>
      <t>D</t>
    </r>
    <r>
      <rPr>
        <sz val="6"/>
        <color indexed="8"/>
        <rFont val="Times New Roman"/>
        <family val="1"/>
        <charset val="204"/>
      </rPr>
      <t>1</t>
    </r>
    <r>
      <rPr>
        <sz val="11"/>
        <color indexed="8"/>
        <rFont val="Calibri"/>
        <family val="2"/>
        <charset val="204"/>
      </rPr>
      <t/>
    </r>
  </si>
  <si>
    <t>Ручне садіння</t>
  </si>
  <si>
    <t>Гледичія</t>
  </si>
  <si>
    <r>
      <t>D</t>
    </r>
    <r>
      <rPr>
        <sz val="6"/>
        <color indexed="8"/>
        <rFont val="Times New Roman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</si>
  <si>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Мех.  висівання</t>
  </si>
  <si>
    <t>Граб</t>
  </si>
  <si>
    <r>
      <t>D</t>
    </r>
    <r>
      <rPr>
        <sz val="6"/>
        <color indexed="8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</si>
  <si>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Ручне висівання</t>
  </si>
  <si>
    <t>Ільмові</t>
  </si>
  <si>
    <r>
      <t>D</t>
    </r>
    <r>
      <rPr>
        <sz val="6"/>
        <color indexed="8"/>
        <rFont val="Times New Roman"/>
        <family val="1"/>
        <charset val="204"/>
      </rPr>
      <t>4</t>
    </r>
    <r>
      <rPr>
        <sz val="11"/>
        <color indexed="8"/>
        <rFont val="Calibri"/>
        <family val="2"/>
        <charset val="204"/>
      </rPr>
      <t/>
    </r>
  </si>
  <si>
    <r>
      <t>D</t>
    </r>
    <r>
      <rPr>
        <sz val="6"/>
        <color indexed="8"/>
        <rFont val="Times New Roman"/>
        <family val="1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</si>
  <si>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t>Пр. інженер  лісових культур                                               Нечипоренко  Н.О.</t>
  </si>
  <si>
    <r>
      <t xml:space="preserve">Категорія лісових культур   </t>
    </r>
    <r>
      <rPr>
        <i/>
        <u/>
        <sz val="10"/>
        <color indexed="8"/>
        <rFont val="Times New Roman"/>
        <family val="1"/>
        <charset val="204"/>
      </rPr>
      <t xml:space="preserve">  лісові культури на землях, що надані в постійне користування</t>
    </r>
  </si>
  <si>
    <t xml:space="preserve">                                 у тому числі:  ПРИРОДНЕ ПОНОВЛЕННЯ</t>
  </si>
  <si>
    <t>Загиблі ліс.культури</t>
  </si>
  <si>
    <t>Малоціні нас-ня</t>
  </si>
  <si>
    <t>Тополя,осика</t>
  </si>
  <si>
    <t>Мех. садіння</t>
  </si>
  <si>
    <t>Мех. висівання</t>
  </si>
  <si>
    <t>2,5х0,6</t>
  </si>
  <si>
    <t>4рСз1Дз</t>
  </si>
  <si>
    <t>С4Влч</t>
  </si>
  <si>
    <t>С3ГД</t>
  </si>
  <si>
    <t>5рСз3рДз</t>
  </si>
  <si>
    <t>Макарівське</t>
  </si>
  <si>
    <t>через 3,0м</t>
  </si>
  <si>
    <t>сприяння п.п.</t>
  </si>
  <si>
    <t>Влч</t>
  </si>
  <si>
    <t>Влч,Бп</t>
  </si>
  <si>
    <t>Бп, Дз</t>
  </si>
  <si>
    <t>Бп, Влч</t>
  </si>
  <si>
    <t>Гз, Ос</t>
  </si>
  <si>
    <t>Бп, Ос</t>
  </si>
  <si>
    <t>Влч, Ос</t>
  </si>
  <si>
    <t>8рСз2рДпн</t>
  </si>
  <si>
    <t>через 2,5м</t>
  </si>
  <si>
    <t>Головний  лісничий                                                              Баришполець Л.П.</t>
  </si>
  <si>
    <r>
      <t xml:space="preserve">на  </t>
    </r>
    <r>
      <rPr>
        <b/>
        <u/>
        <sz val="10"/>
        <color indexed="8"/>
        <rFont val="Times New Roman"/>
        <family val="1"/>
        <charset val="204"/>
      </rPr>
      <t xml:space="preserve">    2018    </t>
    </r>
    <r>
      <rPr>
        <b/>
        <sz val="10"/>
        <color indexed="8"/>
        <rFont val="Times New Roman"/>
        <family val="1"/>
        <charset val="204"/>
      </rPr>
      <t xml:space="preserve"> рік   по  </t>
    </r>
    <r>
      <rPr>
        <b/>
        <i/>
        <u/>
        <sz val="10"/>
        <color indexed="8"/>
        <rFont val="Times New Roman"/>
        <family val="1"/>
        <charset val="204"/>
      </rPr>
      <t xml:space="preserve">    ДП  "Іванківський  лісгосп"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</si>
</sst>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i/>
      <u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15" fillId="0" borderId="7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164" fontId="15" fillId="0" borderId="7" xfId="0" applyNumberFormat="1" applyFont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center" wrapText="1"/>
    </xf>
    <xf numFmtId="1" fontId="17" fillId="0" borderId="7" xfId="0" applyNumberFormat="1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2" fontId="15" fillId="0" borderId="7" xfId="0" applyNumberFormat="1" applyFont="1" applyBorder="1" applyAlignment="1">
      <alignment horizontal="left" vertical="center" wrapText="1"/>
    </xf>
    <xf numFmtId="1" fontId="15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20" fillId="0" borderId="21" xfId="0" applyNumberFormat="1" applyFont="1" applyBorder="1" applyAlignment="1">
      <alignment horizontal="center" vertical="center" wrapText="1"/>
    </xf>
    <xf numFmtId="0" fontId="20" fillId="0" borderId="22" xfId="0" applyNumberFormat="1" applyFont="1" applyBorder="1" applyAlignment="1">
      <alignment horizontal="center" vertical="center" wrapText="1"/>
    </xf>
    <xf numFmtId="3" fontId="20" fillId="0" borderId="22" xfId="0" applyNumberFormat="1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left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left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left" vertical="center" wrapText="1"/>
    </xf>
    <xf numFmtId="0" fontId="25" fillId="0" borderId="0" xfId="0" applyFont="1"/>
    <xf numFmtId="0" fontId="26" fillId="0" borderId="0" xfId="0" applyNumberFormat="1" applyFont="1" applyFill="1" applyAlignment="1">
      <alignment horizontal="left" vertical="center" wrapText="1"/>
    </xf>
    <xf numFmtId="0" fontId="23" fillId="0" borderId="0" xfId="0" applyNumberFormat="1" applyFont="1" applyAlignment="1">
      <alignment horizontal="left" vertical="center" wrapText="1"/>
    </xf>
    <xf numFmtId="0" fontId="20" fillId="0" borderId="0" xfId="0" applyNumberFormat="1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top" wrapText="1"/>
    </xf>
    <xf numFmtId="0" fontId="9" fillId="0" borderId="32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26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Alignment="1">
      <alignment horizontal="right" vertical="center" wrapText="1"/>
    </xf>
    <xf numFmtId="0" fontId="5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top" wrapText="1"/>
    </xf>
    <xf numFmtId="0" fontId="20" fillId="0" borderId="32" xfId="0" applyNumberFormat="1" applyFont="1" applyBorder="1" applyAlignment="1">
      <alignment horizontal="center" vertical="top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left" vertical="center" wrapText="1"/>
    </xf>
    <xf numFmtId="0" fontId="8" fillId="0" borderId="36" xfId="0" applyNumberFormat="1" applyFont="1" applyBorder="1" applyAlignment="1">
      <alignment horizontal="left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1" fillId="0" borderId="40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42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left" vertical="center" wrapText="1"/>
    </xf>
    <xf numFmtId="0" fontId="9" fillId="0" borderId="44" xfId="0" applyNumberFormat="1" applyFont="1" applyBorder="1" applyAlignment="1">
      <alignment horizontal="left" vertical="center" wrapText="1"/>
    </xf>
    <xf numFmtId="0" fontId="9" fillId="0" borderId="45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38" xfId="0" applyNumberFormat="1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07"/>
  <sheetViews>
    <sheetView tabSelected="1" topLeftCell="A139" workbookViewId="0">
      <selection activeCell="O86" sqref="O86"/>
    </sheetView>
  </sheetViews>
  <sheetFormatPr defaultRowHeight="15"/>
  <cols>
    <col min="1" max="1" width="10.85546875" customWidth="1"/>
    <col min="2" max="2" width="3.5703125" customWidth="1"/>
    <col min="3" max="3" width="4.140625" customWidth="1"/>
    <col min="4" max="4" width="5.28515625" customWidth="1"/>
    <col min="5" max="5" width="5.5703125" customWidth="1"/>
    <col min="6" max="6" width="6.140625" customWidth="1"/>
    <col min="7" max="7" width="6.7109375" customWidth="1"/>
    <col min="8" max="8" width="8.5703125" customWidth="1"/>
    <col min="11" max="11" width="9" customWidth="1"/>
    <col min="12" max="12" width="10.5703125" customWidth="1"/>
    <col min="13" max="13" width="6.42578125" customWidth="1"/>
    <col min="14" max="14" width="5.7109375" customWidth="1"/>
    <col min="15" max="15" width="4.85546875" customWidth="1"/>
    <col min="16" max="17" width="4.28515625" customWidth="1"/>
    <col min="18" max="20" width="4.85546875" customWidth="1"/>
    <col min="21" max="21" width="15.140625" customWidth="1"/>
    <col min="22" max="22" width="4.28515625" customWidth="1"/>
    <col min="23" max="23" width="6.5703125" customWidth="1"/>
    <col min="24" max="24" width="13.28515625" customWidth="1"/>
    <col min="26" max="26" width="7.42578125" customWidth="1"/>
    <col min="31" max="31" width="8" customWidth="1"/>
    <col min="32" max="32" width="7.28515625" customWidth="1"/>
    <col min="33" max="33" width="6.140625" customWidth="1"/>
    <col min="34" max="34" width="17.85546875" customWidth="1"/>
  </cols>
  <sheetData>
    <row r="1" spans="1:23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  <c r="N1" s="2"/>
      <c r="O1" s="2"/>
      <c r="P1" s="2" t="s">
        <v>1</v>
      </c>
      <c r="Q1" s="2"/>
      <c r="R1" s="2"/>
      <c r="S1" s="2"/>
      <c r="T1" s="2"/>
      <c r="U1" s="2"/>
      <c r="V1" s="2"/>
      <c r="W1" s="3"/>
    </row>
    <row r="2" spans="1:23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67" t="s">
        <v>2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</row>
    <row r="3" spans="1:23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7" t="s">
        <v>3</v>
      </c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</row>
    <row r="4" spans="1:23" ht="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34" t="s">
        <v>4</v>
      </c>
      <c r="R5" s="134"/>
      <c r="S5" s="134"/>
      <c r="T5" s="134"/>
      <c r="U5" s="134"/>
      <c r="V5" s="4"/>
      <c r="W5" s="1"/>
    </row>
    <row r="6" spans="1:23">
      <c r="A6" s="168" t="s">
        <v>5</v>
      </c>
      <c r="B6" s="168"/>
      <c r="C6" s="168"/>
      <c r="D6" s="1"/>
      <c r="E6" s="1"/>
      <c r="F6" s="1"/>
      <c r="G6" s="1"/>
      <c r="H6" s="1"/>
      <c r="I6" s="1"/>
      <c r="J6" s="1"/>
      <c r="K6" s="1"/>
      <c r="L6" s="1"/>
      <c r="M6" s="1"/>
      <c r="N6" s="165" t="s">
        <v>6</v>
      </c>
      <c r="O6" s="165"/>
      <c r="P6" s="165"/>
      <c r="Q6" s="165"/>
      <c r="R6" s="165"/>
      <c r="S6" s="165"/>
      <c r="T6" s="165"/>
      <c r="U6" s="165"/>
      <c r="V6" s="5"/>
      <c r="W6" s="1"/>
    </row>
    <row r="7" spans="1:23" ht="12.75" customHeight="1">
      <c r="A7" s="158" t="s">
        <v>7</v>
      </c>
      <c r="B7" s="158"/>
      <c r="C7" s="158"/>
      <c r="D7" s="158"/>
      <c r="E7" s="158"/>
      <c r="F7" s="158"/>
      <c r="G7" s="158"/>
      <c r="H7" s="158"/>
      <c r="I7" s="158"/>
      <c r="J7" s="1"/>
      <c r="K7" s="1"/>
      <c r="L7" s="1"/>
      <c r="M7" s="1"/>
      <c r="N7" s="165" t="s">
        <v>8</v>
      </c>
      <c r="O7" s="165"/>
      <c r="P7" s="165"/>
      <c r="Q7" s="165"/>
      <c r="R7" s="165"/>
      <c r="S7" s="165"/>
      <c r="T7" s="165"/>
      <c r="U7" s="165"/>
      <c r="V7" s="5"/>
      <c r="W7" s="1"/>
    </row>
    <row r="8" spans="1:23" ht="17.25" customHeight="1">
      <c r="A8" s="158" t="s">
        <v>9</v>
      </c>
      <c r="B8" s="158"/>
      <c r="C8" s="158"/>
      <c r="D8" s="158"/>
      <c r="E8" s="158"/>
      <c r="F8" s="158"/>
      <c r="G8" s="158"/>
      <c r="H8" s="1"/>
      <c r="I8" s="1"/>
      <c r="J8" s="1"/>
      <c r="K8" s="1"/>
      <c r="L8" s="1"/>
      <c r="M8" s="1"/>
      <c r="N8" s="165" t="s">
        <v>10</v>
      </c>
      <c r="O8" s="165"/>
      <c r="P8" s="165"/>
      <c r="Q8" s="165"/>
      <c r="R8" s="165"/>
      <c r="S8" s="165"/>
      <c r="T8" s="165"/>
      <c r="U8" s="165"/>
      <c r="V8" s="5"/>
      <c r="W8" s="1"/>
    </row>
    <row r="9" spans="1:23" ht="11.25" customHeight="1">
      <c r="A9" s="158" t="s">
        <v>11</v>
      </c>
      <c r="B9" s="158"/>
      <c r="C9" s="158"/>
      <c r="D9" s="158"/>
      <c r="E9" s="158"/>
      <c r="F9" s="158"/>
      <c r="G9" s="1"/>
      <c r="H9" s="1"/>
      <c r="I9" s="1"/>
      <c r="J9" s="1"/>
      <c r="K9" s="1"/>
      <c r="L9" s="1"/>
      <c r="M9" s="1"/>
      <c r="N9" s="164" t="s">
        <v>12</v>
      </c>
      <c r="O9" s="165"/>
      <c r="P9" s="165"/>
      <c r="Q9" s="165"/>
      <c r="R9" s="165"/>
      <c r="S9" s="165"/>
      <c r="T9" s="165"/>
      <c r="U9" s="165"/>
      <c r="V9" s="5"/>
      <c r="W9" s="1"/>
    </row>
    <row r="10" spans="1:23" ht="14.25" customHeight="1">
      <c r="A10" s="166" t="s">
        <v>13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6"/>
      <c r="W10" s="1"/>
    </row>
    <row r="11" spans="1:23">
      <c r="A11" s="126" t="s">
        <v>14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6"/>
      <c r="W11" s="1"/>
    </row>
    <row r="12" spans="1:23">
      <c r="A12" s="126" t="s">
        <v>180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6"/>
      <c r="W12" s="1"/>
    </row>
    <row r="13" spans="1:23">
      <c r="A13" s="135" t="s">
        <v>15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7"/>
      <c r="W13" s="1"/>
    </row>
    <row r="14" spans="1:23" ht="7.5" customHeight="1" thickBot="1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"/>
      <c r="W14" s="1"/>
    </row>
    <row r="15" spans="1:23">
      <c r="A15" s="159" t="s">
        <v>16</v>
      </c>
      <c r="B15" s="130" t="s">
        <v>17</v>
      </c>
      <c r="C15" s="130" t="s">
        <v>18</v>
      </c>
      <c r="D15" s="130" t="s">
        <v>19</v>
      </c>
      <c r="E15" s="130" t="s">
        <v>20</v>
      </c>
      <c r="F15" s="130" t="s">
        <v>21</v>
      </c>
      <c r="G15" s="130" t="s">
        <v>22</v>
      </c>
      <c r="H15" s="130" t="s">
        <v>23</v>
      </c>
      <c r="I15" s="130" t="s">
        <v>24</v>
      </c>
      <c r="J15" s="130"/>
      <c r="K15" s="130" t="s">
        <v>25</v>
      </c>
      <c r="L15" s="130" t="s">
        <v>26</v>
      </c>
      <c r="M15" s="146" t="s">
        <v>27</v>
      </c>
      <c r="N15" s="147"/>
      <c r="O15" s="147"/>
      <c r="P15" s="147"/>
      <c r="Q15" s="147"/>
      <c r="R15" s="147"/>
      <c r="S15" s="147"/>
      <c r="T15" s="148"/>
      <c r="U15" s="132" t="s">
        <v>28</v>
      </c>
      <c r="V15" s="8"/>
      <c r="W15" s="1"/>
    </row>
    <row r="16" spans="1:23">
      <c r="A16" s="160"/>
      <c r="B16" s="152"/>
      <c r="C16" s="152"/>
      <c r="D16" s="152"/>
      <c r="E16" s="152"/>
      <c r="F16" s="152"/>
      <c r="G16" s="152"/>
      <c r="H16" s="152"/>
      <c r="I16" s="152" t="s">
        <v>29</v>
      </c>
      <c r="J16" s="153" t="s">
        <v>30</v>
      </c>
      <c r="K16" s="152"/>
      <c r="L16" s="152"/>
      <c r="M16" s="152" t="s">
        <v>31</v>
      </c>
      <c r="N16" s="155" t="s">
        <v>32</v>
      </c>
      <c r="O16" s="156"/>
      <c r="P16" s="156"/>
      <c r="Q16" s="156"/>
      <c r="R16" s="156"/>
      <c r="S16" s="156"/>
      <c r="T16" s="157"/>
      <c r="U16" s="162"/>
      <c r="V16" s="8"/>
      <c r="W16" s="1"/>
    </row>
    <row r="17" spans="1:23" ht="15.75" thickBot="1">
      <c r="A17" s="161"/>
      <c r="B17" s="131"/>
      <c r="C17" s="131"/>
      <c r="D17" s="131"/>
      <c r="E17" s="131"/>
      <c r="F17" s="131"/>
      <c r="G17" s="131"/>
      <c r="H17" s="131"/>
      <c r="I17" s="131"/>
      <c r="J17" s="154"/>
      <c r="K17" s="131"/>
      <c r="L17" s="131"/>
      <c r="M17" s="131"/>
      <c r="N17" s="9" t="s">
        <v>33</v>
      </c>
      <c r="O17" s="9" t="s">
        <v>34</v>
      </c>
      <c r="P17" s="9" t="s">
        <v>35</v>
      </c>
      <c r="Q17" s="9" t="s">
        <v>36</v>
      </c>
      <c r="R17" s="10" t="s">
        <v>37</v>
      </c>
      <c r="S17" s="11" t="s">
        <v>38</v>
      </c>
      <c r="T17" s="11" t="s">
        <v>39</v>
      </c>
      <c r="U17" s="163"/>
      <c r="V17" s="8"/>
      <c r="W17" s="1"/>
    </row>
    <row r="18" spans="1:23" ht="10.5" customHeight="1" thickBot="1">
      <c r="A18" s="111">
        <v>1</v>
      </c>
      <c r="B18" s="112">
        <v>2</v>
      </c>
      <c r="C18" s="112">
        <v>3</v>
      </c>
      <c r="D18" s="112">
        <v>4</v>
      </c>
      <c r="E18" s="112">
        <v>5</v>
      </c>
      <c r="F18" s="112">
        <v>6</v>
      </c>
      <c r="G18" s="112">
        <v>7</v>
      </c>
      <c r="H18" s="112">
        <v>8</v>
      </c>
      <c r="I18" s="112">
        <v>9</v>
      </c>
      <c r="J18" s="112">
        <v>10</v>
      </c>
      <c r="K18" s="112">
        <v>11</v>
      </c>
      <c r="L18" s="112">
        <v>12</v>
      </c>
      <c r="M18" s="112">
        <v>13</v>
      </c>
      <c r="N18" s="112">
        <v>14</v>
      </c>
      <c r="O18" s="112">
        <v>15</v>
      </c>
      <c r="P18" s="112">
        <v>16</v>
      </c>
      <c r="Q18" s="112">
        <v>17</v>
      </c>
      <c r="R18" s="112">
        <v>18</v>
      </c>
      <c r="S18" s="113"/>
      <c r="T18" s="113"/>
      <c r="U18" s="114">
        <v>19</v>
      </c>
      <c r="V18" s="8"/>
      <c r="W18" s="1"/>
    </row>
    <row r="19" spans="1:23">
      <c r="A19" s="149" t="s">
        <v>40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1"/>
      <c r="V19" s="15"/>
      <c r="W19" s="1"/>
    </row>
    <row r="20" spans="1:23" ht="13.5" customHeight="1">
      <c r="A20" s="140" t="s">
        <v>41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2"/>
      <c r="V20" s="16"/>
      <c r="W20" s="1"/>
    </row>
    <row r="21" spans="1:23" ht="14.25" customHeight="1">
      <c r="A21" s="17" t="s">
        <v>41</v>
      </c>
      <c r="B21" s="18">
        <v>1</v>
      </c>
      <c r="C21" s="18">
        <v>4</v>
      </c>
      <c r="D21" s="18">
        <v>14</v>
      </c>
      <c r="E21" s="18">
        <v>0.5</v>
      </c>
      <c r="F21" s="18" t="s">
        <v>33</v>
      </c>
      <c r="G21" s="18" t="s">
        <v>42</v>
      </c>
      <c r="H21" s="18" t="s">
        <v>43</v>
      </c>
      <c r="I21" s="19" t="s">
        <v>44</v>
      </c>
      <c r="J21" s="19" t="s">
        <v>45</v>
      </c>
      <c r="K21" s="20" t="s">
        <v>46</v>
      </c>
      <c r="L21" s="18" t="s">
        <v>53</v>
      </c>
      <c r="M21" s="21">
        <f>E21*8.333</f>
        <v>4.1665000000000001</v>
      </c>
      <c r="N21" s="22">
        <f>E21*6.66</f>
        <v>3.33</v>
      </c>
      <c r="O21" s="18"/>
      <c r="P21" s="22">
        <f>E21*1.67</f>
        <v>0.83499999999999996</v>
      </c>
      <c r="Q21" s="22"/>
      <c r="R21" s="18"/>
      <c r="S21" s="23"/>
      <c r="T21" s="23"/>
      <c r="U21" s="24"/>
      <c r="V21" s="25"/>
      <c r="W21" s="1"/>
    </row>
    <row r="22" spans="1:23" ht="14.25" customHeight="1">
      <c r="A22" s="17" t="s">
        <v>41</v>
      </c>
      <c r="B22" s="18">
        <v>2</v>
      </c>
      <c r="C22" s="18">
        <v>26</v>
      </c>
      <c r="D22" s="18">
        <v>33.1</v>
      </c>
      <c r="E22" s="18">
        <v>1.1000000000000001</v>
      </c>
      <c r="F22" s="18" t="s">
        <v>33</v>
      </c>
      <c r="G22" s="18" t="s">
        <v>48</v>
      </c>
      <c r="H22" s="18" t="s">
        <v>43</v>
      </c>
      <c r="I22" s="19" t="s">
        <v>44</v>
      </c>
      <c r="J22" s="19" t="s">
        <v>45</v>
      </c>
      <c r="K22" s="20" t="s">
        <v>46</v>
      </c>
      <c r="L22" s="18" t="s">
        <v>53</v>
      </c>
      <c r="M22" s="21">
        <f t="shared" ref="M22:M29" si="0">E22*8.333</f>
        <v>9.1663000000000014</v>
      </c>
      <c r="N22" s="22">
        <f t="shared" ref="N22:N29" si="1">E22*6.66</f>
        <v>7.3260000000000005</v>
      </c>
      <c r="O22" s="18"/>
      <c r="P22" s="22">
        <f t="shared" ref="P22:P29" si="2">E22*1.67</f>
        <v>1.837</v>
      </c>
      <c r="Q22" s="22"/>
      <c r="R22" s="18"/>
      <c r="S22" s="23"/>
      <c r="T22" s="23"/>
      <c r="U22" s="24"/>
      <c r="V22" s="25"/>
      <c r="W22" s="1"/>
    </row>
    <row r="23" spans="1:23" ht="14.25" customHeight="1">
      <c r="A23" s="17" t="s">
        <v>41</v>
      </c>
      <c r="B23" s="18">
        <v>3</v>
      </c>
      <c r="C23" s="18">
        <v>26</v>
      </c>
      <c r="D23" s="18">
        <v>33.200000000000003</v>
      </c>
      <c r="E23" s="18">
        <v>1.4</v>
      </c>
      <c r="F23" s="18" t="s">
        <v>33</v>
      </c>
      <c r="G23" s="18" t="s">
        <v>48</v>
      </c>
      <c r="H23" s="18" t="s">
        <v>43</v>
      </c>
      <c r="I23" s="19" t="s">
        <v>44</v>
      </c>
      <c r="J23" s="19" t="s">
        <v>45</v>
      </c>
      <c r="K23" s="20" t="s">
        <v>46</v>
      </c>
      <c r="L23" s="18" t="s">
        <v>53</v>
      </c>
      <c r="M23" s="21">
        <f t="shared" si="0"/>
        <v>11.6662</v>
      </c>
      <c r="N23" s="22">
        <f t="shared" si="1"/>
        <v>9.3239999999999998</v>
      </c>
      <c r="O23" s="18"/>
      <c r="P23" s="22">
        <f t="shared" si="2"/>
        <v>2.3379999999999996</v>
      </c>
      <c r="Q23" s="22"/>
      <c r="R23" s="18"/>
      <c r="S23" s="23"/>
      <c r="T23" s="23"/>
      <c r="U23" s="24"/>
      <c r="V23" s="25"/>
      <c r="W23" s="1"/>
    </row>
    <row r="24" spans="1:23" ht="14.25" customHeight="1">
      <c r="A24" s="17" t="s">
        <v>41</v>
      </c>
      <c r="B24" s="18">
        <v>4</v>
      </c>
      <c r="C24" s="18">
        <v>32</v>
      </c>
      <c r="D24" s="18">
        <v>10</v>
      </c>
      <c r="E24" s="18">
        <v>2.2999999999999998</v>
      </c>
      <c r="F24" s="18" t="s">
        <v>33</v>
      </c>
      <c r="G24" s="18" t="s">
        <v>48</v>
      </c>
      <c r="H24" s="18" t="s">
        <v>43</v>
      </c>
      <c r="I24" s="19" t="s">
        <v>44</v>
      </c>
      <c r="J24" s="19" t="s">
        <v>45</v>
      </c>
      <c r="K24" s="20" t="s">
        <v>46</v>
      </c>
      <c r="L24" s="18" t="s">
        <v>53</v>
      </c>
      <c r="M24" s="21">
        <f t="shared" si="0"/>
        <v>19.165900000000001</v>
      </c>
      <c r="N24" s="22">
        <f t="shared" si="1"/>
        <v>15.318</v>
      </c>
      <c r="O24" s="18"/>
      <c r="P24" s="22">
        <f t="shared" si="2"/>
        <v>3.8409999999999997</v>
      </c>
      <c r="Q24" s="22"/>
      <c r="R24" s="18"/>
      <c r="S24" s="23"/>
      <c r="T24" s="23"/>
      <c r="U24" s="24"/>
      <c r="V24" s="25"/>
      <c r="W24" s="1"/>
    </row>
    <row r="25" spans="1:23" ht="14.25" customHeight="1">
      <c r="A25" s="17" t="s">
        <v>41</v>
      </c>
      <c r="B25" s="18">
        <v>5</v>
      </c>
      <c r="C25" s="18">
        <v>33</v>
      </c>
      <c r="D25" s="18">
        <v>26</v>
      </c>
      <c r="E25" s="18">
        <v>2.7</v>
      </c>
      <c r="F25" s="18" t="s">
        <v>33</v>
      </c>
      <c r="G25" s="18" t="s">
        <v>48</v>
      </c>
      <c r="H25" s="18" t="s">
        <v>43</v>
      </c>
      <c r="I25" s="19" t="s">
        <v>44</v>
      </c>
      <c r="J25" s="19" t="s">
        <v>45</v>
      </c>
      <c r="K25" s="20" t="s">
        <v>46</v>
      </c>
      <c r="L25" s="18" t="s">
        <v>53</v>
      </c>
      <c r="M25" s="21">
        <f t="shared" si="0"/>
        <v>22.499100000000002</v>
      </c>
      <c r="N25" s="22">
        <f t="shared" si="1"/>
        <v>17.982000000000003</v>
      </c>
      <c r="O25" s="18"/>
      <c r="P25" s="22">
        <f t="shared" si="2"/>
        <v>4.5090000000000003</v>
      </c>
      <c r="Q25" s="22"/>
      <c r="R25" s="18"/>
      <c r="S25" s="23"/>
      <c r="T25" s="23"/>
      <c r="U25" s="24"/>
      <c r="V25" s="25"/>
      <c r="W25" s="1"/>
    </row>
    <row r="26" spans="1:23" ht="14.25" customHeight="1">
      <c r="A26" s="17" t="s">
        <v>41</v>
      </c>
      <c r="B26" s="18">
        <v>6</v>
      </c>
      <c r="C26" s="18">
        <v>43</v>
      </c>
      <c r="D26" s="18">
        <v>12.1</v>
      </c>
      <c r="E26" s="18">
        <v>0.2</v>
      </c>
      <c r="F26" s="18" t="s">
        <v>33</v>
      </c>
      <c r="G26" s="18" t="s">
        <v>54</v>
      </c>
      <c r="H26" s="18" t="s">
        <v>43</v>
      </c>
      <c r="I26" s="19" t="s">
        <v>44</v>
      </c>
      <c r="J26" s="19" t="s">
        <v>45</v>
      </c>
      <c r="K26" s="20" t="s">
        <v>46</v>
      </c>
      <c r="L26" s="18" t="s">
        <v>53</v>
      </c>
      <c r="M26" s="21">
        <f t="shared" si="0"/>
        <v>1.6666000000000001</v>
      </c>
      <c r="N26" s="22">
        <f t="shared" si="1"/>
        <v>1.3320000000000001</v>
      </c>
      <c r="O26" s="18"/>
      <c r="P26" s="22">
        <f t="shared" si="2"/>
        <v>0.33400000000000002</v>
      </c>
      <c r="Q26" s="22"/>
      <c r="R26" s="18"/>
      <c r="S26" s="23"/>
      <c r="T26" s="23"/>
      <c r="U26" s="24"/>
      <c r="V26" s="25"/>
      <c r="W26" s="1"/>
    </row>
    <row r="27" spans="1:23" ht="14.25" customHeight="1">
      <c r="A27" s="17" t="s">
        <v>41</v>
      </c>
      <c r="B27" s="18">
        <v>7</v>
      </c>
      <c r="C27" s="18">
        <v>43</v>
      </c>
      <c r="D27" s="18">
        <v>16.100000000000001</v>
      </c>
      <c r="E27" s="18">
        <v>0.8</v>
      </c>
      <c r="F27" s="18" t="s">
        <v>33</v>
      </c>
      <c r="G27" s="18" t="s">
        <v>48</v>
      </c>
      <c r="H27" s="18" t="s">
        <v>43</v>
      </c>
      <c r="I27" s="19" t="s">
        <v>44</v>
      </c>
      <c r="J27" s="19" t="s">
        <v>45</v>
      </c>
      <c r="K27" s="20" t="s">
        <v>46</v>
      </c>
      <c r="L27" s="18" t="s">
        <v>53</v>
      </c>
      <c r="M27" s="21">
        <f t="shared" si="0"/>
        <v>6.6664000000000003</v>
      </c>
      <c r="N27" s="22">
        <f t="shared" si="1"/>
        <v>5.3280000000000003</v>
      </c>
      <c r="O27" s="18"/>
      <c r="P27" s="22">
        <f t="shared" si="2"/>
        <v>1.3360000000000001</v>
      </c>
      <c r="Q27" s="22"/>
      <c r="R27" s="18"/>
      <c r="S27" s="23"/>
      <c r="T27" s="23"/>
      <c r="U27" s="24"/>
      <c r="V27" s="25"/>
      <c r="W27" s="1"/>
    </row>
    <row r="28" spans="1:23" ht="14.25" customHeight="1">
      <c r="A28" s="17" t="s">
        <v>41</v>
      </c>
      <c r="B28" s="18">
        <v>8</v>
      </c>
      <c r="C28" s="18">
        <v>57</v>
      </c>
      <c r="D28" s="18">
        <v>24</v>
      </c>
      <c r="E28" s="18">
        <v>1.8</v>
      </c>
      <c r="F28" s="18" t="s">
        <v>33</v>
      </c>
      <c r="G28" s="18" t="s">
        <v>48</v>
      </c>
      <c r="H28" s="18" t="s">
        <v>43</v>
      </c>
      <c r="I28" s="19" t="s">
        <v>44</v>
      </c>
      <c r="J28" s="19" t="s">
        <v>45</v>
      </c>
      <c r="K28" s="20" t="s">
        <v>46</v>
      </c>
      <c r="L28" s="18" t="s">
        <v>53</v>
      </c>
      <c r="M28" s="21">
        <f t="shared" si="0"/>
        <v>14.999400000000001</v>
      </c>
      <c r="N28" s="22">
        <f t="shared" si="1"/>
        <v>11.988000000000001</v>
      </c>
      <c r="O28" s="18"/>
      <c r="P28" s="22">
        <f t="shared" si="2"/>
        <v>3.0059999999999998</v>
      </c>
      <c r="Q28" s="22"/>
      <c r="R28" s="18"/>
      <c r="S28" s="23"/>
      <c r="T28" s="23"/>
      <c r="U28" s="24"/>
      <c r="V28" s="25"/>
      <c r="W28" s="1"/>
    </row>
    <row r="29" spans="1:23" ht="14.25" customHeight="1">
      <c r="A29" s="17" t="s">
        <v>41</v>
      </c>
      <c r="B29" s="18">
        <v>9</v>
      </c>
      <c r="C29" s="18">
        <v>57</v>
      </c>
      <c r="D29" s="18">
        <v>31</v>
      </c>
      <c r="E29" s="18">
        <v>2.2999999999999998</v>
      </c>
      <c r="F29" s="18" t="s">
        <v>33</v>
      </c>
      <c r="G29" s="18" t="s">
        <v>48</v>
      </c>
      <c r="H29" s="18" t="s">
        <v>43</v>
      </c>
      <c r="I29" s="19" t="s">
        <v>44</v>
      </c>
      <c r="J29" s="19" t="s">
        <v>45</v>
      </c>
      <c r="K29" s="20" t="s">
        <v>46</v>
      </c>
      <c r="L29" s="18" t="s">
        <v>53</v>
      </c>
      <c r="M29" s="21">
        <f t="shared" si="0"/>
        <v>19.165900000000001</v>
      </c>
      <c r="N29" s="22">
        <f t="shared" si="1"/>
        <v>15.318</v>
      </c>
      <c r="O29" s="18"/>
      <c r="P29" s="22">
        <f t="shared" si="2"/>
        <v>3.8409999999999997</v>
      </c>
      <c r="Q29" s="22"/>
      <c r="R29" s="18"/>
      <c r="S29" s="23"/>
      <c r="T29" s="23"/>
      <c r="U29" s="24"/>
      <c r="V29" s="25"/>
      <c r="W29" s="1"/>
    </row>
    <row r="30" spans="1:23" ht="6" customHeight="1">
      <c r="A30" s="17"/>
      <c r="B30" s="18"/>
      <c r="C30" s="18"/>
      <c r="D30" s="18"/>
      <c r="E30" s="18"/>
      <c r="F30" s="18"/>
      <c r="G30" s="18"/>
      <c r="H30" s="18"/>
      <c r="I30" s="19"/>
      <c r="J30" s="19"/>
      <c r="K30" s="20"/>
      <c r="L30" s="18"/>
      <c r="M30" s="22"/>
      <c r="N30" s="22"/>
      <c r="O30" s="18"/>
      <c r="P30" s="18"/>
      <c r="Q30" s="18"/>
      <c r="R30" s="18"/>
      <c r="S30" s="23"/>
      <c r="T30" s="23"/>
      <c r="U30" s="24"/>
      <c r="V30" s="25"/>
      <c r="W30" s="1"/>
    </row>
    <row r="31" spans="1:23">
      <c r="A31" s="26"/>
      <c r="B31" s="27"/>
      <c r="C31" s="27"/>
      <c r="D31" s="27"/>
      <c r="E31" s="27">
        <f>SUM(E21:E30)</f>
        <v>13.100000000000001</v>
      </c>
      <c r="F31" s="27"/>
      <c r="G31" s="27"/>
      <c r="H31" s="27"/>
      <c r="I31" s="28"/>
      <c r="J31" s="28"/>
      <c r="K31" s="27"/>
      <c r="L31" s="27"/>
      <c r="M31" s="29">
        <f>SUM(M21:M30)</f>
        <v>109.16229999999999</v>
      </c>
      <c r="N31" s="29">
        <f>SUM(N21:N30)</f>
        <v>87.246000000000009</v>
      </c>
      <c r="O31" s="29">
        <f>SUM(O21:O30)</f>
        <v>0</v>
      </c>
      <c r="P31" s="29">
        <f>SUM(P21:P30)</f>
        <v>21.876999999999999</v>
      </c>
      <c r="Q31" s="29">
        <f>SUM(Q21:Q30)</f>
        <v>0</v>
      </c>
      <c r="R31" s="27"/>
      <c r="S31" s="30"/>
      <c r="T31" s="30"/>
      <c r="U31" s="31"/>
      <c r="V31" s="15"/>
      <c r="W31" s="1"/>
    </row>
    <row r="32" spans="1:23" ht="13.5" customHeight="1">
      <c r="A32" s="140" t="s">
        <v>50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/>
      <c r="V32" s="16"/>
      <c r="W32" s="1"/>
    </row>
    <row r="33" spans="1:23" ht="14.25" customHeight="1">
      <c r="A33" s="17" t="s">
        <v>50</v>
      </c>
      <c r="B33" s="18">
        <v>1</v>
      </c>
      <c r="C33" s="18">
        <v>17</v>
      </c>
      <c r="D33" s="18">
        <v>26</v>
      </c>
      <c r="E33" s="18">
        <v>0.6</v>
      </c>
      <c r="F33" s="18" t="s">
        <v>34</v>
      </c>
      <c r="G33" s="18" t="s">
        <v>52</v>
      </c>
      <c r="H33" s="18" t="s">
        <v>43</v>
      </c>
      <c r="I33" s="19" t="s">
        <v>44</v>
      </c>
      <c r="J33" s="19" t="s">
        <v>45</v>
      </c>
      <c r="K33" s="20" t="s">
        <v>162</v>
      </c>
      <c r="L33" s="18" t="s">
        <v>61</v>
      </c>
      <c r="M33" s="22">
        <f>E33*6.7</f>
        <v>4.0199999999999996</v>
      </c>
      <c r="N33" s="22"/>
      <c r="O33" s="22">
        <f>M33</f>
        <v>4.0199999999999996</v>
      </c>
      <c r="P33" s="22"/>
      <c r="Q33" s="18"/>
      <c r="R33" s="18"/>
      <c r="S33" s="23"/>
      <c r="T33" s="23"/>
      <c r="U33" s="24"/>
      <c r="V33" s="25"/>
      <c r="W33" s="1"/>
    </row>
    <row r="34" spans="1:23" ht="14.25" customHeight="1">
      <c r="A34" s="17" t="s">
        <v>50</v>
      </c>
      <c r="B34" s="18">
        <v>2</v>
      </c>
      <c r="C34" s="18">
        <v>17</v>
      </c>
      <c r="D34" s="18">
        <v>3.1</v>
      </c>
      <c r="E34" s="18">
        <v>2.6</v>
      </c>
      <c r="F34" s="18" t="s">
        <v>34</v>
      </c>
      <c r="G34" s="18" t="s">
        <v>52</v>
      </c>
      <c r="H34" s="18" t="s">
        <v>43</v>
      </c>
      <c r="I34" s="19" t="s">
        <v>44</v>
      </c>
      <c r="J34" s="19" t="s">
        <v>45</v>
      </c>
      <c r="K34" s="20" t="s">
        <v>162</v>
      </c>
      <c r="L34" s="18" t="s">
        <v>61</v>
      </c>
      <c r="M34" s="22">
        <f>E34*6.67</f>
        <v>17.341999999999999</v>
      </c>
      <c r="N34" s="22"/>
      <c r="O34" s="22">
        <f>M34</f>
        <v>17.341999999999999</v>
      </c>
      <c r="P34" s="22"/>
      <c r="Q34" s="18"/>
      <c r="R34" s="18"/>
      <c r="S34" s="23"/>
      <c r="T34" s="23"/>
      <c r="U34" s="24"/>
      <c r="V34" s="25"/>
      <c r="W34" s="1"/>
    </row>
    <row r="35" spans="1:23" ht="14.25" customHeight="1">
      <c r="A35" s="17" t="s">
        <v>50</v>
      </c>
      <c r="B35" s="18">
        <v>3</v>
      </c>
      <c r="C35" s="18">
        <v>94</v>
      </c>
      <c r="D35" s="18">
        <v>21</v>
      </c>
      <c r="E35" s="18">
        <v>1.3</v>
      </c>
      <c r="F35" s="18" t="s">
        <v>33</v>
      </c>
      <c r="G35" s="18" t="s">
        <v>52</v>
      </c>
      <c r="H35" s="18" t="s">
        <v>43</v>
      </c>
      <c r="I35" s="19" t="s">
        <v>44</v>
      </c>
      <c r="J35" s="19" t="s">
        <v>45</v>
      </c>
      <c r="K35" s="20" t="s">
        <v>46</v>
      </c>
      <c r="L35" s="18" t="s">
        <v>163</v>
      </c>
      <c r="M35" s="22">
        <f t="shared" ref="M35:M53" si="3">E35*8.333</f>
        <v>10.8329</v>
      </c>
      <c r="N35" s="22">
        <f>E35*6.66</f>
        <v>8.6580000000000013</v>
      </c>
      <c r="O35" s="22">
        <f>E35*1.6</f>
        <v>2.08</v>
      </c>
      <c r="P35" s="22"/>
      <c r="Q35" s="18"/>
      <c r="R35" s="18"/>
      <c r="S35" s="23"/>
      <c r="T35" s="23"/>
      <c r="U35" s="24"/>
      <c r="V35" s="25"/>
      <c r="W35" s="1"/>
    </row>
    <row r="36" spans="1:23" ht="14.25" customHeight="1">
      <c r="A36" s="17" t="s">
        <v>50</v>
      </c>
      <c r="B36" s="18">
        <v>4</v>
      </c>
      <c r="C36" s="18">
        <v>36</v>
      </c>
      <c r="D36" s="18">
        <v>31.1</v>
      </c>
      <c r="E36" s="18">
        <v>0.1</v>
      </c>
      <c r="F36" s="18" t="s">
        <v>33</v>
      </c>
      <c r="G36" s="18" t="s">
        <v>48</v>
      </c>
      <c r="H36" s="18" t="s">
        <v>43</v>
      </c>
      <c r="I36" s="19" t="s">
        <v>44</v>
      </c>
      <c r="J36" s="19" t="s">
        <v>45</v>
      </c>
      <c r="K36" s="20" t="s">
        <v>46</v>
      </c>
      <c r="L36" s="18" t="s">
        <v>53</v>
      </c>
      <c r="M36" s="22">
        <f t="shared" si="3"/>
        <v>0.83330000000000004</v>
      </c>
      <c r="N36" s="22">
        <f t="shared" ref="N36:N50" si="4">E36*6.66</f>
        <v>0.66600000000000004</v>
      </c>
      <c r="O36" s="22"/>
      <c r="P36" s="22">
        <f>E36*1.6-0.1</f>
        <v>6.0000000000000026E-2</v>
      </c>
      <c r="Q36" s="18"/>
      <c r="R36" s="18"/>
      <c r="S36" s="23"/>
      <c r="T36" s="23"/>
      <c r="U36" s="24"/>
      <c r="V36" s="25"/>
      <c r="W36" s="1"/>
    </row>
    <row r="37" spans="1:23" ht="14.25" customHeight="1">
      <c r="A37" s="17" t="s">
        <v>50</v>
      </c>
      <c r="B37" s="18">
        <v>5</v>
      </c>
      <c r="C37" s="18">
        <v>36</v>
      </c>
      <c r="D37" s="18">
        <v>28.1</v>
      </c>
      <c r="E37" s="18">
        <v>0.1</v>
      </c>
      <c r="F37" s="18" t="s">
        <v>33</v>
      </c>
      <c r="G37" s="18" t="s">
        <v>48</v>
      </c>
      <c r="H37" s="18" t="s">
        <v>43</v>
      </c>
      <c r="I37" s="19" t="s">
        <v>44</v>
      </c>
      <c r="J37" s="19" t="s">
        <v>45</v>
      </c>
      <c r="K37" s="20" t="s">
        <v>46</v>
      </c>
      <c r="L37" s="18" t="s">
        <v>53</v>
      </c>
      <c r="M37" s="22">
        <f t="shared" si="3"/>
        <v>0.83330000000000004</v>
      </c>
      <c r="N37" s="22">
        <f t="shared" si="4"/>
        <v>0.66600000000000004</v>
      </c>
      <c r="O37" s="22"/>
      <c r="P37" s="22">
        <f>E37*1.6-0.1</f>
        <v>6.0000000000000026E-2</v>
      </c>
      <c r="Q37" s="18"/>
      <c r="R37" s="18"/>
      <c r="S37" s="23"/>
      <c r="T37" s="23"/>
      <c r="U37" s="24"/>
      <c r="V37" s="25"/>
      <c r="W37" s="1"/>
    </row>
    <row r="38" spans="1:23" ht="14.25" customHeight="1">
      <c r="A38" s="17" t="s">
        <v>50</v>
      </c>
      <c r="B38" s="18">
        <v>6</v>
      </c>
      <c r="C38" s="18">
        <v>123</v>
      </c>
      <c r="D38" s="18">
        <v>18</v>
      </c>
      <c r="E38" s="18">
        <v>1.2</v>
      </c>
      <c r="F38" s="18" t="s">
        <v>33</v>
      </c>
      <c r="G38" s="18" t="s">
        <v>48</v>
      </c>
      <c r="H38" s="18" t="s">
        <v>43</v>
      </c>
      <c r="I38" s="19" t="s">
        <v>44</v>
      </c>
      <c r="J38" s="19" t="s">
        <v>45</v>
      </c>
      <c r="K38" s="20" t="s">
        <v>46</v>
      </c>
      <c r="L38" s="18" t="s">
        <v>53</v>
      </c>
      <c r="M38" s="22">
        <f t="shared" si="3"/>
        <v>9.9995999999999992</v>
      </c>
      <c r="N38" s="22">
        <f t="shared" si="4"/>
        <v>7.992</v>
      </c>
      <c r="O38" s="22"/>
      <c r="P38" s="22">
        <f>E38*1.67</f>
        <v>2.004</v>
      </c>
      <c r="Q38" s="18"/>
      <c r="R38" s="18"/>
      <c r="S38" s="23"/>
      <c r="T38" s="23"/>
      <c r="U38" s="24"/>
      <c r="V38" s="25"/>
      <c r="W38" s="1"/>
    </row>
    <row r="39" spans="1:23" ht="14.25" customHeight="1">
      <c r="A39" s="17" t="s">
        <v>50</v>
      </c>
      <c r="B39" s="18">
        <v>7</v>
      </c>
      <c r="C39" s="18">
        <v>79</v>
      </c>
      <c r="D39" s="18">
        <v>51.1</v>
      </c>
      <c r="E39" s="18">
        <v>0.6</v>
      </c>
      <c r="F39" s="18" t="s">
        <v>33</v>
      </c>
      <c r="G39" s="18" t="s">
        <v>42</v>
      </c>
      <c r="H39" s="18" t="s">
        <v>43</v>
      </c>
      <c r="I39" s="19" t="s">
        <v>44</v>
      </c>
      <c r="J39" s="19" t="s">
        <v>45</v>
      </c>
      <c r="K39" s="20" t="s">
        <v>46</v>
      </c>
      <c r="L39" s="18" t="s">
        <v>53</v>
      </c>
      <c r="M39" s="22">
        <f t="shared" si="3"/>
        <v>4.9997999999999996</v>
      </c>
      <c r="N39" s="22">
        <f t="shared" si="4"/>
        <v>3.996</v>
      </c>
      <c r="O39" s="22"/>
      <c r="P39" s="22">
        <f>E39*1.67</f>
        <v>1.002</v>
      </c>
      <c r="Q39" s="18"/>
      <c r="R39" s="18"/>
      <c r="S39" s="23"/>
      <c r="T39" s="23"/>
      <c r="U39" s="24"/>
      <c r="V39" s="25"/>
      <c r="W39" s="1"/>
    </row>
    <row r="40" spans="1:23" ht="14.25" customHeight="1">
      <c r="A40" s="17" t="s">
        <v>50</v>
      </c>
      <c r="B40" s="18">
        <v>8</v>
      </c>
      <c r="C40" s="18">
        <v>79</v>
      </c>
      <c r="D40" s="18">
        <v>49.1</v>
      </c>
      <c r="E40" s="18">
        <v>0.5</v>
      </c>
      <c r="F40" s="18" t="s">
        <v>33</v>
      </c>
      <c r="G40" s="18" t="s">
        <v>42</v>
      </c>
      <c r="H40" s="18" t="s">
        <v>43</v>
      </c>
      <c r="I40" s="19" t="s">
        <v>44</v>
      </c>
      <c r="J40" s="19" t="s">
        <v>45</v>
      </c>
      <c r="K40" s="20" t="s">
        <v>46</v>
      </c>
      <c r="L40" s="18" t="s">
        <v>53</v>
      </c>
      <c r="M40" s="22">
        <f t="shared" si="3"/>
        <v>4.1665000000000001</v>
      </c>
      <c r="N40" s="22">
        <f t="shared" si="4"/>
        <v>3.33</v>
      </c>
      <c r="O40" s="22"/>
      <c r="P40" s="22">
        <f>E40*1.67+0.1</f>
        <v>0.93499999999999994</v>
      </c>
      <c r="Q40" s="18"/>
      <c r="R40" s="18"/>
      <c r="S40" s="23"/>
      <c r="T40" s="23"/>
      <c r="U40" s="24"/>
      <c r="V40" s="25"/>
      <c r="W40" s="1"/>
    </row>
    <row r="41" spans="1:23" ht="14.25" customHeight="1">
      <c r="A41" s="17" t="s">
        <v>50</v>
      </c>
      <c r="B41" s="18">
        <v>9</v>
      </c>
      <c r="C41" s="18">
        <v>125</v>
      </c>
      <c r="D41" s="18">
        <v>8.1</v>
      </c>
      <c r="E41" s="18">
        <v>1.9</v>
      </c>
      <c r="F41" s="18" t="s">
        <v>33</v>
      </c>
      <c r="G41" s="18" t="s">
        <v>64</v>
      </c>
      <c r="H41" s="18" t="s">
        <v>43</v>
      </c>
      <c r="I41" s="19" t="s">
        <v>44</v>
      </c>
      <c r="J41" s="19" t="s">
        <v>45</v>
      </c>
      <c r="K41" s="20" t="s">
        <v>46</v>
      </c>
      <c r="L41" s="18" t="s">
        <v>51</v>
      </c>
      <c r="M41" s="22">
        <f t="shared" si="3"/>
        <v>15.832699999999999</v>
      </c>
      <c r="N41" s="22">
        <f>E41*6.7</f>
        <v>12.73</v>
      </c>
      <c r="O41" s="22">
        <f>E41*1.6</f>
        <v>3.04</v>
      </c>
      <c r="P41" s="22"/>
      <c r="Q41" s="18"/>
      <c r="R41" s="18"/>
      <c r="S41" s="23"/>
      <c r="T41" s="23"/>
      <c r="U41" s="24"/>
      <c r="V41" s="25"/>
      <c r="W41" s="1"/>
    </row>
    <row r="42" spans="1:23" ht="14.25" customHeight="1">
      <c r="A42" s="17" t="s">
        <v>50</v>
      </c>
      <c r="B42" s="18">
        <v>10</v>
      </c>
      <c r="C42" s="18">
        <v>39</v>
      </c>
      <c r="D42" s="18">
        <v>10.1</v>
      </c>
      <c r="E42" s="18">
        <v>2.2999999999999998</v>
      </c>
      <c r="F42" s="18" t="s">
        <v>33</v>
      </c>
      <c r="G42" s="18" t="s">
        <v>64</v>
      </c>
      <c r="H42" s="18" t="s">
        <v>43</v>
      </c>
      <c r="I42" s="19" t="s">
        <v>44</v>
      </c>
      <c r="J42" s="19" t="s">
        <v>45</v>
      </c>
      <c r="K42" s="20" t="s">
        <v>46</v>
      </c>
      <c r="L42" s="18" t="s">
        <v>51</v>
      </c>
      <c r="M42" s="22">
        <f t="shared" si="3"/>
        <v>19.165900000000001</v>
      </c>
      <c r="N42" s="22">
        <f>E42*6.7+0.1</f>
        <v>15.509999999999998</v>
      </c>
      <c r="O42" s="22">
        <f>E42*1.6</f>
        <v>3.6799999999999997</v>
      </c>
      <c r="P42" s="22"/>
      <c r="Q42" s="18"/>
      <c r="R42" s="18"/>
      <c r="S42" s="23"/>
      <c r="T42" s="23"/>
      <c r="U42" s="24"/>
      <c r="V42" s="25"/>
      <c r="W42" s="1"/>
    </row>
    <row r="43" spans="1:23" ht="14.25" customHeight="1">
      <c r="A43" s="17" t="s">
        <v>50</v>
      </c>
      <c r="B43" s="18">
        <v>11</v>
      </c>
      <c r="C43" s="18">
        <v>46</v>
      </c>
      <c r="D43" s="18">
        <v>3.1</v>
      </c>
      <c r="E43" s="18">
        <v>2.9</v>
      </c>
      <c r="F43" s="18" t="s">
        <v>33</v>
      </c>
      <c r="G43" s="18" t="s">
        <v>48</v>
      </c>
      <c r="H43" s="18" t="s">
        <v>43</v>
      </c>
      <c r="I43" s="19" t="s">
        <v>44</v>
      </c>
      <c r="J43" s="19" t="s">
        <v>45</v>
      </c>
      <c r="K43" s="20" t="s">
        <v>46</v>
      </c>
      <c r="L43" s="18" t="s">
        <v>53</v>
      </c>
      <c r="M43" s="22">
        <f>E43*8.33</f>
        <v>24.157</v>
      </c>
      <c r="N43" s="22">
        <f t="shared" si="4"/>
        <v>19.314</v>
      </c>
      <c r="O43" s="22"/>
      <c r="P43" s="22">
        <f>E43*1.67</f>
        <v>4.843</v>
      </c>
      <c r="Q43" s="18"/>
      <c r="R43" s="18"/>
      <c r="S43" s="23"/>
      <c r="T43" s="23"/>
      <c r="U43" s="24"/>
      <c r="V43" s="25"/>
      <c r="W43" s="1"/>
    </row>
    <row r="44" spans="1:23" ht="14.25" customHeight="1">
      <c r="A44" s="17" t="s">
        <v>50</v>
      </c>
      <c r="B44" s="18">
        <v>12</v>
      </c>
      <c r="C44" s="18">
        <v>47</v>
      </c>
      <c r="D44" s="18">
        <v>6.1</v>
      </c>
      <c r="E44" s="18">
        <v>2.1</v>
      </c>
      <c r="F44" s="18" t="s">
        <v>33</v>
      </c>
      <c r="G44" s="18" t="s">
        <v>48</v>
      </c>
      <c r="H44" s="18" t="s">
        <v>43</v>
      </c>
      <c r="I44" s="19" t="s">
        <v>44</v>
      </c>
      <c r="J44" s="19" t="s">
        <v>45</v>
      </c>
      <c r="K44" s="20" t="s">
        <v>46</v>
      </c>
      <c r="L44" s="18" t="s">
        <v>51</v>
      </c>
      <c r="M44" s="22">
        <f t="shared" si="3"/>
        <v>17.499300000000002</v>
      </c>
      <c r="N44" s="22">
        <f>E44*6.67+0.1</f>
        <v>14.106999999999999</v>
      </c>
      <c r="O44" s="22"/>
      <c r="P44" s="22">
        <f>E44*1.6</f>
        <v>3.3600000000000003</v>
      </c>
      <c r="Q44" s="18"/>
      <c r="R44" s="18"/>
      <c r="S44" s="23"/>
      <c r="T44" s="23"/>
      <c r="U44" s="24"/>
      <c r="V44" s="25"/>
      <c r="W44" s="1"/>
    </row>
    <row r="45" spans="1:23" ht="14.25" customHeight="1">
      <c r="A45" s="17" t="s">
        <v>50</v>
      </c>
      <c r="B45" s="18">
        <v>13</v>
      </c>
      <c r="C45" s="18">
        <v>130</v>
      </c>
      <c r="D45" s="18">
        <v>12</v>
      </c>
      <c r="E45" s="18">
        <v>0.9</v>
      </c>
      <c r="F45" s="18" t="s">
        <v>33</v>
      </c>
      <c r="G45" s="18" t="s">
        <v>54</v>
      </c>
      <c r="H45" s="18" t="s">
        <v>43</v>
      </c>
      <c r="I45" s="19" t="s">
        <v>44</v>
      </c>
      <c r="J45" s="19" t="s">
        <v>45</v>
      </c>
      <c r="K45" s="20" t="s">
        <v>46</v>
      </c>
      <c r="L45" s="18" t="s">
        <v>55</v>
      </c>
      <c r="M45" s="22">
        <f t="shared" si="3"/>
        <v>7.4997000000000007</v>
      </c>
      <c r="N45" s="22">
        <v>7.5</v>
      </c>
      <c r="O45" s="22"/>
      <c r="P45" s="22"/>
      <c r="Q45" s="18"/>
      <c r="R45" s="18"/>
      <c r="S45" s="23"/>
      <c r="T45" s="23"/>
      <c r="U45" s="24"/>
      <c r="V45" s="25"/>
      <c r="W45" s="1"/>
    </row>
    <row r="46" spans="1:23" ht="14.25" customHeight="1">
      <c r="A46" s="17" t="s">
        <v>50</v>
      </c>
      <c r="B46" s="18">
        <v>35</v>
      </c>
      <c r="C46" s="18">
        <v>12</v>
      </c>
      <c r="D46" s="18">
        <v>34</v>
      </c>
      <c r="E46" s="18">
        <v>1.7</v>
      </c>
      <c r="F46" s="18" t="s">
        <v>33</v>
      </c>
      <c r="G46" s="18" t="s">
        <v>64</v>
      </c>
      <c r="H46" s="18" t="s">
        <v>43</v>
      </c>
      <c r="I46" s="19" t="s">
        <v>44</v>
      </c>
      <c r="J46" s="19" t="s">
        <v>45</v>
      </c>
      <c r="K46" s="20" t="s">
        <v>162</v>
      </c>
      <c r="L46" s="18" t="s">
        <v>61</v>
      </c>
      <c r="M46" s="22">
        <f>E46*6.66</f>
        <v>11.321999999999999</v>
      </c>
      <c r="N46" s="22"/>
      <c r="O46" s="22">
        <f>M46</f>
        <v>11.321999999999999</v>
      </c>
      <c r="P46" s="22"/>
      <c r="Q46" s="18"/>
      <c r="R46" s="18"/>
      <c r="S46" s="23"/>
      <c r="T46" s="23"/>
      <c r="U46" s="24"/>
      <c r="V46" s="25"/>
      <c r="W46" s="1"/>
    </row>
    <row r="47" spans="1:23" ht="14.25" customHeight="1">
      <c r="A47" s="17" t="s">
        <v>50</v>
      </c>
      <c r="B47" s="18">
        <v>29</v>
      </c>
      <c r="C47" s="18">
        <v>118</v>
      </c>
      <c r="D47" s="18">
        <v>11</v>
      </c>
      <c r="E47" s="33">
        <v>0.3</v>
      </c>
      <c r="F47" s="18" t="s">
        <v>33</v>
      </c>
      <c r="G47" s="18" t="s">
        <v>48</v>
      </c>
      <c r="H47" s="18" t="s">
        <v>43</v>
      </c>
      <c r="I47" s="19" t="s">
        <v>44</v>
      </c>
      <c r="J47" s="19" t="s">
        <v>45</v>
      </c>
      <c r="K47" s="20" t="s">
        <v>46</v>
      </c>
      <c r="L47" s="18" t="s">
        <v>53</v>
      </c>
      <c r="M47" s="22">
        <f t="shared" si="3"/>
        <v>2.4998999999999998</v>
      </c>
      <c r="N47" s="22">
        <f t="shared" si="4"/>
        <v>1.998</v>
      </c>
      <c r="O47" s="22"/>
      <c r="P47" s="22">
        <f t="shared" ref="P47:P52" si="5">E47*1.67</f>
        <v>0.501</v>
      </c>
      <c r="Q47" s="18"/>
      <c r="R47" s="18"/>
      <c r="S47" s="23"/>
      <c r="T47" s="23"/>
      <c r="U47" s="24"/>
      <c r="V47" s="25"/>
      <c r="W47" s="1"/>
    </row>
    <row r="48" spans="1:23" ht="14.25" customHeight="1">
      <c r="A48" s="17" t="s">
        <v>50</v>
      </c>
      <c r="B48" s="18">
        <v>30</v>
      </c>
      <c r="C48" s="18">
        <v>119</v>
      </c>
      <c r="D48" s="18">
        <v>17</v>
      </c>
      <c r="E48" s="18">
        <v>1.2</v>
      </c>
      <c r="F48" s="18" t="s">
        <v>33</v>
      </c>
      <c r="G48" s="18" t="s">
        <v>48</v>
      </c>
      <c r="H48" s="18" t="s">
        <v>43</v>
      </c>
      <c r="I48" s="19" t="s">
        <v>44</v>
      </c>
      <c r="J48" s="19" t="s">
        <v>45</v>
      </c>
      <c r="K48" s="20" t="s">
        <v>46</v>
      </c>
      <c r="L48" s="18" t="s">
        <v>53</v>
      </c>
      <c r="M48" s="22">
        <f t="shared" si="3"/>
        <v>9.9995999999999992</v>
      </c>
      <c r="N48" s="22">
        <f t="shared" si="4"/>
        <v>7.992</v>
      </c>
      <c r="O48" s="22"/>
      <c r="P48" s="22">
        <f t="shared" si="5"/>
        <v>2.004</v>
      </c>
      <c r="Q48" s="18"/>
      <c r="R48" s="18"/>
      <c r="S48" s="23"/>
      <c r="T48" s="23"/>
      <c r="U48" s="24"/>
      <c r="V48" s="25"/>
      <c r="W48" s="1"/>
    </row>
    <row r="49" spans="1:23" ht="14.25" customHeight="1">
      <c r="A49" s="17" t="s">
        <v>50</v>
      </c>
      <c r="B49" s="18">
        <v>31</v>
      </c>
      <c r="C49" s="18">
        <v>120</v>
      </c>
      <c r="D49" s="18">
        <v>1.2</v>
      </c>
      <c r="E49" s="18">
        <v>0.7</v>
      </c>
      <c r="F49" s="18" t="s">
        <v>33</v>
      </c>
      <c r="G49" s="18" t="s">
        <v>48</v>
      </c>
      <c r="H49" s="18" t="s">
        <v>43</v>
      </c>
      <c r="I49" s="19" t="s">
        <v>44</v>
      </c>
      <c r="J49" s="19" t="s">
        <v>45</v>
      </c>
      <c r="K49" s="20" t="s">
        <v>46</v>
      </c>
      <c r="L49" s="18" t="s">
        <v>53</v>
      </c>
      <c r="M49" s="22">
        <f>E49*8.333+0.1</f>
        <v>5.9330999999999996</v>
      </c>
      <c r="N49" s="22">
        <f t="shared" si="4"/>
        <v>4.6619999999999999</v>
      </c>
      <c r="O49" s="22"/>
      <c r="P49" s="22">
        <f t="shared" si="5"/>
        <v>1.1689999999999998</v>
      </c>
      <c r="Q49" s="18"/>
      <c r="R49" s="18"/>
      <c r="S49" s="23"/>
      <c r="T49" s="23"/>
      <c r="U49" s="24"/>
      <c r="V49" s="25"/>
      <c r="W49" s="1"/>
    </row>
    <row r="50" spans="1:23" ht="14.25" customHeight="1">
      <c r="A50" s="17" t="s">
        <v>50</v>
      </c>
      <c r="B50" s="18">
        <v>27</v>
      </c>
      <c r="C50" s="18">
        <v>1</v>
      </c>
      <c r="D50" s="18">
        <v>34</v>
      </c>
      <c r="E50" s="18">
        <v>0.2</v>
      </c>
      <c r="F50" s="18" t="s">
        <v>33</v>
      </c>
      <c r="G50" s="18" t="s">
        <v>48</v>
      </c>
      <c r="H50" s="18" t="s">
        <v>43</v>
      </c>
      <c r="I50" s="19" t="s">
        <v>44</v>
      </c>
      <c r="J50" s="19" t="s">
        <v>45</v>
      </c>
      <c r="K50" s="20" t="s">
        <v>46</v>
      </c>
      <c r="L50" s="18" t="s">
        <v>53</v>
      </c>
      <c r="M50" s="22">
        <f t="shared" si="3"/>
        <v>1.6666000000000001</v>
      </c>
      <c r="N50" s="22">
        <f t="shared" si="4"/>
        <v>1.3320000000000001</v>
      </c>
      <c r="O50" s="22"/>
      <c r="P50" s="22">
        <f>E50*1.677+0.1</f>
        <v>0.43540000000000001</v>
      </c>
      <c r="Q50" s="18"/>
      <c r="R50" s="18"/>
      <c r="S50" s="23"/>
      <c r="T50" s="23"/>
      <c r="U50" s="24"/>
      <c r="V50" s="25"/>
      <c r="W50" s="1"/>
    </row>
    <row r="51" spans="1:23" ht="14.25" customHeight="1">
      <c r="A51" s="17" t="s">
        <v>50</v>
      </c>
      <c r="B51" s="18">
        <v>26</v>
      </c>
      <c r="C51" s="18">
        <v>3</v>
      </c>
      <c r="D51" s="18">
        <v>46.1</v>
      </c>
      <c r="E51" s="18">
        <v>1.9</v>
      </c>
      <c r="F51" s="18" t="s">
        <v>33</v>
      </c>
      <c r="G51" s="18" t="s">
        <v>48</v>
      </c>
      <c r="H51" s="18" t="s">
        <v>43</v>
      </c>
      <c r="I51" s="19" t="s">
        <v>44</v>
      </c>
      <c r="J51" s="19" t="s">
        <v>45</v>
      </c>
      <c r="K51" s="20" t="s">
        <v>46</v>
      </c>
      <c r="L51" s="18" t="s">
        <v>53</v>
      </c>
      <c r="M51" s="22">
        <f t="shared" si="3"/>
        <v>15.832699999999999</v>
      </c>
      <c r="N51" s="22">
        <f>E51*6.7</f>
        <v>12.73</v>
      </c>
      <c r="O51" s="22"/>
      <c r="P51" s="22">
        <f>E51*1.6</f>
        <v>3.04</v>
      </c>
      <c r="Q51" s="18"/>
      <c r="R51" s="18"/>
      <c r="S51" s="23"/>
      <c r="T51" s="23"/>
      <c r="U51" s="24"/>
      <c r="V51" s="25"/>
      <c r="W51" s="1"/>
    </row>
    <row r="52" spans="1:23" ht="14.25" customHeight="1">
      <c r="A52" s="17" t="s">
        <v>50</v>
      </c>
      <c r="B52" s="18">
        <v>28</v>
      </c>
      <c r="C52" s="18">
        <v>118</v>
      </c>
      <c r="D52" s="18">
        <v>9</v>
      </c>
      <c r="E52" s="18">
        <v>1.4</v>
      </c>
      <c r="F52" s="18" t="s">
        <v>33</v>
      </c>
      <c r="G52" s="18" t="s">
        <v>54</v>
      </c>
      <c r="H52" s="18" t="s">
        <v>43</v>
      </c>
      <c r="I52" s="19" t="s">
        <v>44</v>
      </c>
      <c r="J52" s="19" t="s">
        <v>45</v>
      </c>
      <c r="K52" s="20" t="s">
        <v>46</v>
      </c>
      <c r="L52" s="18" t="s">
        <v>55</v>
      </c>
      <c r="M52" s="22">
        <f t="shared" si="3"/>
        <v>11.6662</v>
      </c>
      <c r="N52" s="22">
        <f>M52</f>
        <v>11.6662</v>
      </c>
      <c r="O52" s="22"/>
      <c r="P52" s="22">
        <f t="shared" si="5"/>
        <v>2.3379999999999996</v>
      </c>
      <c r="Q52" s="18"/>
      <c r="R52" s="18"/>
      <c r="S52" s="23"/>
      <c r="T52" s="23"/>
      <c r="U52" s="24"/>
      <c r="V52" s="25"/>
      <c r="W52" s="1"/>
    </row>
    <row r="53" spans="1:23" ht="14.25" customHeight="1">
      <c r="A53" s="17" t="s">
        <v>50</v>
      </c>
      <c r="B53" s="18">
        <v>32</v>
      </c>
      <c r="C53" s="18">
        <v>3</v>
      </c>
      <c r="D53" s="18">
        <v>37</v>
      </c>
      <c r="E53" s="18">
        <v>1</v>
      </c>
      <c r="F53" s="18" t="s">
        <v>33</v>
      </c>
      <c r="G53" s="18" t="s">
        <v>54</v>
      </c>
      <c r="H53" s="18" t="s">
        <v>43</v>
      </c>
      <c r="I53" s="19" t="s">
        <v>44</v>
      </c>
      <c r="J53" s="19" t="s">
        <v>45</v>
      </c>
      <c r="K53" s="20" t="s">
        <v>46</v>
      </c>
      <c r="L53" s="18" t="s">
        <v>55</v>
      </c>
      <c r="M53" s="22">
        <f t="shared" si="3"/>
        <v>8.3330000000000002</v>
      </c>
      <c r="N53" s="22">
        <f>M53</f>
        <v>8.3330000000000002</v>
      </c>
      <c r="O53" s="22"/>
      <c r="P53" s="22"/>
      <c r="Q53" s="18"/>
      <c r="R53" s="18"/>
      <c r="S53" s="23"/>
      <c r="T53" s="23"/>
      <c r="U53" s="24"/>
      <c r="V53" s="25"/>
      <c r="W53" s="1"/>
    </row>
    <row r="54" spans="1:23" ht="6" customHeight="1">
      <c r="A54" s="17"/>
      <c r="B54" s="18"/>
      <c r="C54" s="18"/>
      <c r="D54" s="18"/>
      <c r="E54" s="18"/>
      <c r="F54" s="18"/>
      <c r="G54" s="18"/>
      <c r="H54" s="18"/>
      <c r="I54" s="19"/>
      <c r="J54" s="19"/>
      <c r="K54" s="20"/>
      <c r="L54" s="18"/>
      <c r="M54" s="22"/>
      <c r="N54" s="22"/>
      <c r="O54" s="22"/>
      <c r="P54" s="22"/>
      <c r="Q54" s="18"/>
      <c r="R54" s="18"/>
      <c r="S54" s="23"/>
      <c r="T54" s="23"/>
      <c r="U54" s="24"/>
      <c r="V54" s="25"/>
      <c r="W54" s="1"/>
    </row>
    <row r="55" spans="1:23">
      <c r="A55" s="26"/>
      <c r="B55" s="27"/>
      <c r="C55" s="27"/>
      <c r="D55" s="27"/>
      <c r="E55" s="27">
        <f>SUM(E33:E54)</f>
        <v>25.499999999999993</v>
      </c>
      <c r="F55" s="27"/>
      <c r="G55" s="27"/>
      <c r="H55" s="27"/>
      <c r="I55" s="28"/>
      <c r="J55" s="28"/>
      <c r="K55" s="27"/>
      <c r="L55" s="27"/>
      <c r="M55" s="29">
        <f>SUM(M33:M54)</f>
        <v>204.43509999999995</v>
      </c>
      <c r="N55" s="29">
        <f>SUM(N33:N54)</f>
        <v>143.18219999999999</v>
      </c>
      <c r="O55" s="29">
        <f>SUM(O33:O54)</f>
        <v>41.483999999999995</v>
      </c>
      <c r="P55" s="29">
        <f>SUM(P33:P54)</f>
        <v>21.7514</v>
      </c>
      <c r="Q55" s="27"/>
      <c r="R55" s="27"/>
      <c r="S55" s="30"/>
      <c r="T55" s="30"/>
      <c r="U55" s="31"/>
      <c r="V55" s="15"/>
      <c r="W55" s="1"/>
    </row>
    <row r="56" spans="1:23" ht="13.5" customHeight="1">
      <c r="A56" s="140" t="s">
        <v>57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2"/>
      <c r="V56" s="16"/>
      <c r="W56" s="1"/>
    </row>
    <row r="57" spans="1:23" ht="14.25" customHeight="1">
      <c r="A57" s="17" t="s">
        <v>57</v>
      </c>
      <c r="B57" s="18">
        <v>1</v>
      </c>
      <c r="C57" s="18">
        <v>79</v>
      </c>
      <c r="D57" s="18">
        <v>2</v>
      </c>
      <c r="E57" s="18">
        <v>2.9</v>
      </c>
      <c r="F57" s="18" t="s">
        <v>33</v>
      </c>
      <c r="G57" s="18" t="s">
        <v>48</v>
      </c>
      <c r="H57" s="18" t="s">
        <v>43</v>
      </c>
      <c r="I57" s="19" t="s">
        <v>44</v>
      </c>
      <c r="J57" s="19" t="s">
        <v>45</v>
      </c>
      <c r="K57" s="20" t="s">
        <v>46</v>
      </c>
      <c r="L57" s="18" t="s">
        <v>58</v>
      </c>
      <c r="M57" s="21">
        <f>E57*8.333</f>
        <v>24.165700000000001</v>
      </c>
      <c r="N57" s="21">
        <f>E57*6.94</f>
        <v>20.126000000000001</v>
      </c>
      <c r="O57" s="18"/>
      <c r="P57" s="18">
        <f>E57*1.11</f>
        <v>3.2190000000000003</v>
      </c>
      <c r="Q57" s="18"/>
      <c r="R57" s="18">
        <f>E57*0.278</f>
        <v>0.80620000000000003</v>
      </c>
      <c r="S57" s="23"/>
      <c r="T57" s="23"/>
      <c r="U57" s="24"/>
      <c r="V57" s="25"/>
      <c r="W57" s="1"/>
    </row>
    <row r="58" spans="1:23" ht="14.25" customHeight="1">
      <c r="A58" s="17" t="s">
        <v>57</v>
      </c>
      <c r="B58" s="18">
        <v>2</v>
      </c>
      <c r="C58" s="18">
        <v>50</v>
      </c>
      <c r="D58" s="18">
        <v>15</v>
      </c>
      <c r="E58" s="18">
        <v>0.9</v>
      </c>
      <c r="F58" s="18" t="s">
        <v>33</v>
      </c>
      <c r="G58" s="18" t="s">
        <v>48</v>
      </c>
      <c r="H58" s="18" t="s">
        <v>43</v>
      </c>
      <c r="I58" s="19" t="s">
        <v>44</v>
      </c>
      <c r="J58" s="19" t="s">
        <v>45</v>
      </c>
      <c r="K58" s="20" t="s">
        <v>46</v>
      </c>
      <c r="L58" s="18" t="s">
        <v>58</v>
      </c>
      <c r="M58" s="21">
        <f t="shared" ref="M58:M84" si="6">E58*8.333</f>
        <v>7.4997000000000007</v>
      </c>
      <c r="N58" s="21">
        <f>E58*6.94</f>
        <v>6.2460000000000004</v>
      </c>
      <c r="O58" s="18"/>
      <c r="P58" s="18">
        <f>E58*1.11</f>
        <v>0.99900000000000011</v>
      </c>
      <c r="Q58" s="18"/>
      <c r="R58" s="18">
        <f>E58*0.278</f>
        <v>0.25020000000000003</v>
      </c>
      <c r="S58" s="23"/>
      <c r="T58" s="23"/>
      <c r="U58" s="24"/>
      <c r="V58" s="25"/>
      <c r="W58" s="1"/>
    </row>
    <row r="59" spans="1:23" ht="14.25" customHeight="1">
      <c r="A59" s="17" t="s">
        <v>57</v>
      </c>
      <c r="B59" s="18">
        <v>3</v>
      </c>
      <c r="C59" s="18">
        <v>64</v>
      </c>
      <c r="D59" s="18">
        <v>9</v>
      </c>
      <c r="E59" s="18">
        <v>0.6</v>
      </c>
      <c r="F59" s="18" t="s">
        <v>33</v>
      </c>
      <c r="G59" s="18" t="s">
        <v>48</v>
      </c>
      <c r="H59" s="18" t="s">
        <v>43</v>
      </c>
      <c r="I59" s="19" t="s">
        <v>44</v>
      </c>
      <c r="J59" s="19" t="s">
        <v>45</v>
      </c>
      <c r="K59" s="20" t="s">
        <v>46</v>
      </c>
      <c r="L59" s="18" t="s">
        <v>59</v>
      </c>
      <c r="M59" s="21">
        <f t="shared" si="6"/>
        <v>4.9997999999999996</v>
      </c>
      <c r="N59" s="21">
        <f>E59*6.94</f>
        <v>4.1639999999999997</v>
      </c>
      <c r="O59" s="18">
        <f>E59*1.389</f>
        <v>0.83340000000000003</v>
      </c>
      <c r="P59" s="18"/>
      <c r="Q59" s="18"/>
      <c r="R59" s="18"/>
      <c r="S59" s="23"/>
      <c r="T59" s="23"/>
      <c r="U59" s="24"/>
      <c r="V59" s="25"/>
      <c r="W59" s="1"/>
    </row>
    <row r="60" spans="1:23" ht="14.25" customHeight="1">
      <c r="A60" s="17" t="s">
        <v>57</v>
      </c>
      <c r="B60" s="18">
        <v>4</v>
      </c>
      <c r="C60" s="18">
        <v>45</v>
      </c>
      <c r="D60" s="18">
        <v>14</v>
      </c>
      <c r="E60" s="18">
        <v>1.5</v>
      </c>
      <c r="F60" s="18" t="s">
        <v>33</v>
      </c>
      <c r="G60" s="18" t="s">
        <v>54</v>
      </c>
      <c r="H60" s="18" t="s">
        <v>43</v>
      </c>
      <c r="I60" s="19" t="s">
        <v>44</v>
      </c>
      <c r="J60" s="19" t="s">
        <v>45</v>
      </c>
      <c r="K60" s="20" t="s">
        <v>46</v>
      </c>
      <c r="L60" s="18" t="s">
        <v>56</v>
      </c>
      <c r="M60" s="21">
        <f t="shared" si="6"/>
        <v>12.499500000000001</v>
      </c>
      <c r="N60" s="21">
        <f>E60*6.66</f>
        <v>9.99</v>
      </c>
      <c r="O60" s="18"/>
      <c r="P60" s="18">
        <f>E60*1.67</f>
        <v>2.5049999999999999</v>
      </c>
      <c r="Q60" s="18"/>
      <c r="R60" s="18"/>
      <c r="S60" s="23"/>
      <c r="T60" s="23"/>
      <c r="U60" s="24"/>
      <c r="V60" s="25"/>
      <c r="W60" s="1"/>
    </row>
    <row r="61" spans="1:23" ht="14.25" customHeight="1">
      <c r="A61" s="17" t="s">
        <v>57</v>
      </c>
      <c r="B61" s="18">
        <v>5</v>
      </c>
      <c r="C61" s="18">
        <v>57</v>
      </c>
      <c r="D61" s="18">
        <v>23</v>
      </c>
      <c r="E61" s="18">
        <v>2.7</v>
      </c>
      <c r="F61" s="18" t="s">
        <v>33</v>
      </c>
      <c r="G61" s="18" t="s">
        <v>54</v>
      </c>
      <c r="H61" s="18" t="s">
        <v>43</v>
      </c>
      <c r="I61" s="19" t="s">
        <v>44</v>
      </c>
      <c r="J61" s="19" t="s">
        <v>45</v>
      </c>
      <c r="K61" s="20" t="s">
        <v>46</v>
      </c>
      <c r="L61" s="18" t="s">
        <v>58</v>
      </c>
      <c r="M61" s="21">
        <f t="shared" si="6"/>
        <v>22.499100000000002</v>
      </c>
      <c r="N61" s="21">
        <f>E61*6.944</f>
        <v>18.748800000000003</v>
      </c>
      <c r="O61" s="18"/>
      <c r="P61" s="18">
        <f>E61*1.111</f>
        <v>2.9997000000000003</v>
      </c>
      <c r="Q61" s="18"/>
      <c r="R61" s="18">
        <f>E61*0.278</f>
        <v>0.75060000000000016</v>
      </c>
      <c r="S61" s="23"/>
      <c r="T61" s="23"/>
      <c r="U61" s="24"/>
      <c r="V61" s="25"/>
      <c r="W61" s="1"/>
    </row>
    <row r="62" spans="1:23" ht="14.25" customHeight="1">
      <c r="A62" s="17" t="s">
        <v>57</v>
      </c>
      <c r="B62" s="18">
        <v>6</v>
      </c>
      <c r="C62" s="18">
        <v>94</v>
      </c>
      <c r="D62" s="18">
        <v>12</v>
      </c>
      <c r="E62" s="18">
        <v>2.4</v>
      </c>
      <c r="F62" s="18" t="s">
        <v>33</v>
      </c>
      <c r="G62" s="18" t="s">
        <v>54</v>
      </c>
      <c r="H62" s="18" t="s">
        <v>43</v>
      </c>
      <c r="I62" s="19" t="s">
        <v>44</v>
      </c>
      <c r="J62" s="19" t="s">
        <v>45</v>
      </c>
      <c r="K62" s="20" t="s">
        <v>46</v>
      </c>
      <c r="L62" s="18" t="s">
        <v>58</v>
      </c>
      <c r="M62" s="21">
        <f t="shared" si="6"/>
        <v>19.999199999999998</v>
      </c>
      <c r="N62" s="21">
        <f>E62*6.944</f>
        <v>16.665599999999998</v>
      </c>
      <c r="O62" s="18"/>
      <c r="P62" s="18">
        <f>E62*1.111</f>
        <v>2.6663999999999999</v>
      </c>
      <c r="Q62" s="18"/>
      <c r="R62" s="18">
        <f>E62*0.278</f>
        <v>0.66720000000000002</v>
      </c>
      <c r="S62" s="23"/>
      <c r="T62" s="23"/>
      <c r="U62" s="24"/>
      <c r="V62" s="25"/>
      <c r="W62" s="1"/>
    </row>
    <row r="63" spans="1:23" ht="14.25" customHeight="1">
      <c r="A63" s="17" t="s">
        <v>57</v>
      </c>
      <c r="B63" s="18">
        <v>7</v>
      </c>
      <c r="C63" s="18">
        <v>76</v>
      </c>
      <c r="D63" s="18">
        <v>9.1</v>
      </c>
      <c r="E63" s="18">
        <v>1.2</v>
      </c>
      <c r="F63" s="18" t="s">
        <v>33</v>
      </c>
      <c r="G63" s="18" t="s">
        <v>48</v>
      </c>
      <c r="H63" s="18" t="s">
        <v>43</v>
      </c>
      <c r="I63" s="19" t="s">
        <v>44</v>
      </c>
      <c r="J63" s="19" t="s">
        <v>45</v>
      </c>
      <c r="K63" s="20" t="s">
        <v>46</v>
      </c>
      <c r="L63" s="18" t="s">
        <v>58</v>
      </c>
      <c r="M63" s="21">
        <f t="shared" si="6"/>
        <v>9.9995999999999992</v>
      </c>
      <c r="N63" s="21">
        <f>E63*6.944</f>
        <v>8.3327999999999989</v>
      </c>
      <c r="O63" s="18"/>
      <c r="P63" s="18">
        <f>E63*1.111</f>
        <v>1.3331999999999999</v>
      </c>
      <c r="Q63" s="18"/>
      <c r="R63" s="18">
        <f>E63*0.278</f>
        <v>0.33360000000000001</v>
      </c>
      <c r="S63" s="23"/>
      <c r="T63" s="23"/>
      <c r="U63" s="24"/>
      <c r="V63" s="25"/>
      <c r="W63" s="1"/>
    </row>
    <row r="64" spans="1:23" ht="14.25" customHeight="1">
      <c r="A64" s="17" t="s">
        <v>57</v>
      </c>
      <c r="B64" s="18">
        <v>8</v>
      </c>
      <c r="C64" s="18">
        <v>76</v>
      </c>
      <c r="D64" s="18">
        <v>29.1</v>
      </c>
      <c r="E64" s="18">
        <v>0.4</v>
      </c>
      <c r="F64" s="18" t="s">
        <v>33</v>
      </c>
      <c r="G64" s="18" t="s">
        <v>54</v>
      </c>
      <c r="H64" s="18" t="s">
        <v>43</v>
      </c>
      <c r="I64" s="19" t="s">
        <v>44</v>
      </c>
      <c r="J64" s="19" t="s">
        <v>45</v>
      </c>
      <c r="K64" s="20" t="s">
        <v>46</v>
      </c>
      <c r="L64" s="18" t="s">
        <v>70</v>
      </c>
      <c r="M64" s="21">
        <f t="shared" si="6"/>
        <v>3.3332000000000002</v>
      </c>
      <c r="N64" s="21">
        <f>E64*6.94</f>
        <v>2.7760000000000002</v>
      </c>
      <c r="O64" s="18"/>
      <c r="P64" s="18">
        <f>E64*1.389</f>
        <v>0.55559999999999998</v>
      </c>
      <c r="Q64" s="18"/>
      <c r="R64" s="18"/>
      <c r="S64" s="23"/>
      <c r="T64" s="23"/>
      <c r="U64" s="24"/>
      <c r="V64" s="25"/>
      <c r="W64" s="1"/>
    </row>
    <row r="65" spans="1:23" ht="14.25" customHeight="1">
      <c r="A65" s="17" t="s">
        <v>57</v>
      </c>
      <c r="B65" s="18">
        <v>9</v>
      </c>
      <c r="C65" s="18">
        <v>76</v>
      </c>
      <c r="D65" s="18">
        <v>25.1</v>
      </c>
      <c r="E65" s="18">
        <v>1.3</v>
      </c>
      <c r="F65" s="18" t="s">
        <v>33</v>
      </c>
      <c r="G65" s="18" t="s">
        <v>54</v>
      </c>
      <c r="H65" s="18" t="s">
        <v>43</v>
      </c>
      <c r="I65" s="19" t="s">
        <v>44</v>
      </c>
      <c r="J65" s="19" t="s">
        <v>45</v>
      </c>
      <c r="K65" s="20" t="s">
        <v>46</v>
      </c>
      <c r="L65" s="18" t="s">
        <v>70</v>
      </c>
      <c r="M65" s="21">
        <f t="shared" si="6"/>
        <v>10.8329</v>
      </c>
      <c r="N65" s="21">
        <f>E65*6.94</f>
        <v>9.0220000000000002</v>
      </c>
      <c r="O65" s="18"/>
      <c r="P65" s="18">
        <f>E65*1.389</f>
        <v>1.8057000000000001</v>
      </c>
      <c r="Q65" s="18"/>
      <c r="R65" s="18"/>
      <c r="S65" s="23"/>
      <c r="T65" s="23"/>
      <c r="U65" s="24"/>
      <c r="V65" s="25"/>
      <c r="W65" s="1"/>
    </row>
    <row r="66" spans="1:23" ht="14.25" customHeight="1">
      <c r="A66" s="17" t="s">
        <v>57</v>
      </c>
      <c r="B66" s="18">
        <v>10</v>
      </c>
      <c r="C66" s="18">
        <v>76</v>
      </c>
      <c r="D66" s="18">
        <v>23.1</v>
      </c>
      <c r="E66" s="18">
        <v>2</v>
      </c>
      <c r="F66" s="18" t="s">
        <v>33</v>
      </c>
      <c r="G66" s="18" t="s">
        <v>48</v>
      </c>
      <c r="H66" s="18" t="s">
        <v>43</v>
      </c>
      <c r="I66" s="19" t="s">
        <v>44</v>
      </c>
      <c r="J66" s="19" t="s">
        <v>45</v>
      </c>
      <c r="K66" s="20" t="s">
        <v>46</v>
      </c>
      <c r="L66" s="18" t="s">
        <v>70</v>
      </c>
      <c r="M66" s="21">
        <f t="shared" si="6"/>
        <v>16.666</v>
      </c>
      <c r="N66" s="21">
        <f>E66*6.94</f>
        <v>13.88</v>
      </c>
      <c r="O66" s="18"/>
      <c r="P66" s="18">
        <f>E66*1.389</f>
        <v>2.778</v>
      </c>
      <c r="Q66" s="18"/>
      <c r="R66" s="18"/>
      <c r="S66" s="23"/>
      <c r="T66" s="23"/>
      <c r="U66" s="24"/>
      <c r="V66" s="25"/>
      <c r="W66" s="1"/>
    </row>
    <row r="67" spans="1:23" ht="14.25" customHeight="1">
      <c r="A67" s="17" t="s">
        <v>57</v>
      </c>
      <c r="B67" s="18">
        <v>11</v>
      </c>
      <c r="C67" s="18">
        <v>95</v>
      </c>
      <c r="D67" s="18">
        <v>15</v>
      </c>
      <c r="E67" s="18">
        <v>0.7</v>
      </c>
      <c r="F67" s="18" t="s">
        <v>33</v>
      </c>
      <c r="G67" s="18" t="s">
        <v>54</v>
      </c>
      <c r="H67" s="18" t="s">
        <v>43</v>
      </c>
      <c r="I67" s="19" t="s">
        <v>44</v>
      </c>
      <c r="J67" s="19" t="s">
        <v>45</v>
      </c>
      <c r="K67" s="20" t="s">
        <v>46</v>
      </c>
      <c r="L67" s="18" t="s">
        <v>58</v>
      </c>
      <c r="M67" s="21">
        <f t="shared" si="6"/>
        <v>5.8331</v>
      </c>
      <c r="N67" s="21">
        <f>E67*6.944</f>
        <v>4.8607999999999993</v>
      </c>
      <c r="O67" s="18"/>
      <c r="P67" s="18">
        <f>E67*1.111</f>
        <v>0.77769999999999995</v>
      </c>
      <c r="Q67" s="18"/>
      <c r="R67" s="18">
        <f>E67*0.278</f>
        <v>0.1946</v>
      </c>
      <c r="S67" s="23"/>
      <c r="T67" s="23"/>
      <c r="U67" s="24"/>
      <c r="V67" s="25"/>
      <c r="W67" s="1"/>
    </row>
    <row r="68" spans="1:23" ht="14.25" customHeight="1">
      <c r="A68" s="17" t="s">
        <v>57</v>
      </c>
      <c r="B68" s="18">
        <v>12</v>
      </c>
      <c r="C68" s="18">
        <v>76</v>
      </c>
      <c r="D68" s="18">
        <v>30.1</v>
      </c>
      <c r="E68" s="18">
        <v>1.5</v>
      </c>
      <c r="F68" s="18" t="s">
        <v>33</v>
      </c>
      <c r="G68" s="18" t="s">
        <v>54</v>
      </c>
      <c r="H68" s="18" t="s">
        <v>43</v>
      </c>
      <c r="I68" s="19" t="s">
        <v>44</v>
      </c>
      <c r="J68" s="19" t="s">
        <v>45</v>
      </c>
      <c r="K68" s="20" t="s">
        <v>46</v>
      </c>
      <c r="L68" s="18" t="s">
        <v>58</v>
      </c>
      <c r="M68" s="21">
        <f t="shared" si="6"/>
        <v>12.499500000000001</v>
      </c>
      <c r="N68" s="21">
        <f>E68*6.944</f>
        <v>10.416</v>
      </c>
      <c r="O68" s="18"/>
      <c r="P68" s="18">
        <f>E68*1.111</f>
        <v>1.6665000000000001</v>
      </c>
      <c r="Q68" s="18"/>
      <c r="R68" s="18">
        <f>E68*0.278</f>
        <v>0.41700000000000004</v>
      </c>
      <c r="S68" s="23"/>
      <c r="T68" s="23"/>
      <c r="U68" s="24"/>
      <c r="V68" s="25"/>
      <c r="W68" s="1"/>
    </row>
    <row r="69" spans="1:23" ht="14.25" customHeight="1">
      <c r="A69" s="17" t="s">
        <v>57</v>
      </c>
      <c r="B69" s="18">
        <v>13</v>
      </c>
      <c r="C69" s="18">
        <v>76</v>
      </c>
      <c r="D69" s="18">
        <v>20</v>
      </c>
      <c r="E69" s="18">
        <v>1.7</v>
      </c>
      <c r="F69" s="18" t="s">
        <v>33</v>
      </c>
      <c r="G69" s="18" t="s">
        <v>54</v>
      </c>
      <c r="H69" s="18" t="s">
        <v>43</v>
      </c>
      <c r="I69" s="19" t="s">
        <v>44</v>
      </c>
      <c r="J69" s="19" t="s">
        <v>45</v>
      </c>
      <c r="K69" s="20" t="s">
        <v>46</v>
      </c>
      <c r="L69" s="18" t="s">
        <v>58</v>
      </c>
      <c r="M69" s="21">
        <f t="shared" si="6"/>
        <v>14.1661</v>
      </c>
      <c r="N69" s="21">
        <f>E69*6.944</f>
        <v>11.8048</v>
      </c>
      <c r="O69" s="18"/>
      <c r="P69" s="18">
        <f>E69*1.111</f>
        <v>1.8886999999999998</v>
      </c>
      <c r="Q69" s="18"/>
      <c r="R69" s="18">
        <f>E69*0.278</f>
        <v>0.47260000000000002</v>
      </c>
      <c r="S69" s="23"/>
      <c r="T69" s="23"/>
      <c r="U69" s="24"/>
      <c r="V69" s="25"/>
      <c r="W69" s="1"/>
    </row>
    <row r="70" spans="1:23" ht="14.25" customHeight="1">
      <c r="A70" s="17" t="s">
        <v>57</v>
      </c>
      <c r="B70" s="18">
        <v>14</v>
      </c>
      <c r="C70" s="18">
        <v>76</v>
      </c>
      <c r="D70" s="18">
        <v>19</v>
      </c>
      <c r="E70" s="18">
        <v>1.3</v>
      </c>
      <c r="F70" s="18" t="s">
        <v>33</v>
      </c>
      <c r="G70" s="18" t="s">
        <v>54</v>
      </c>
      <c r="H70" s="18" t="s">
        <v>43</v>
      </c>
      <c r="I70" s="19" t="s">
        <v>44</v>
      </c>
      <c r="J70" s="19" t="s">
        <v>45</v>
      </c>
      <c r="K70" s="20" t="s">
        <v>46</v>
      </c>
      <c r="L70" s="18" t="s">
        <v>58</v>
      </c>
      <c r="M70" s="21">
        <f t="shared" si="6"/>
        <v>10.8329</v>
      </c>
      <c r="N70" s="21">
        <f>E70*6.944</f>
        <v>9.0272000000000006</v>
      </c>
      <c r="O70" s="18"/>
      <c r="P70" s="18">
        <f>E70*1.111</f>
        <v>1.4443000000000001</v>
      </c>
      <c r="Q70" s="18"/>
      <c r="R70" s="18">
        <f>E70*0.278</f>
        <v>0.36140000000000005</v>
      </c>
      <c r="S70" s="23"/>
      <c r="T70" s="23"/>
      <c r="U70" s="24"/>
      <c r="V70" s="25"/>
      <c r="W70" s="1"/>
    </row>
    <row r="71" spans="1:23" ht="14.25" customHeight="1">
      <c r="A71" s="17" t="s">
        <v>57</v>
      </c>
      <c r="B71" s="18">
        <v>15</v>
      </c>
      <c r="C71" s="18">
        <v>76</v>
      </c>
      <c r="D71" s="18">
        <v>16.100000000000001</v>
      </c>
      <c r="E71" s="18">
        <v>1</v>
      </c>
      <c r="F71" s="18" t="s">
        <v>33</v>
      </c>
      <c r="G71" s="18" t="s">
        <v>48</v>
      </c>
      <c r="H71" s="18" t="s">
        <v>43</v>
      </c>
      <c r="I71" s="19" t="s">
        <v>44</v>
      </c>
      <c r="J71" s="19" t="s">
        <v>45</v>
      </c>
      <c r="K71" s="20" t="s">
        <v>46</v>
      </c>
      <c r="L71" s="18" t="s">
        <v>58</v>
      </c>
      <c r="M71" s="21">
        <f t="shared" si="6"/>
        <v>8.3330000000000002</v>
      </c>
      <c r="N71" s="21">
        <f>E71*6.944</f>
        <v>6.944</v>
      </c>
      <c r="O71" s="18"/>
      <c r="P71" s="18">
        <f>E71*1.111</f>
        <v>1.111</v>
      </c>
      <c r="Q71" s="18"/>
      <c r="R71" s="18">
        <f>E71*0.278</f>
        <v>0.27800000000000002</v>
      </c>
      <c r="S71" s="23"/>
      <c r="T71" s="23"/>
      <c r="U71" s="24"/>
      <c r="V71" s="25"/>
      <c r="W71" s="1"/>
    </row>
    <row r="72" spans="1:23" ht="14.25" customHeight="1">
      <c r="A72" s="17" t="s">
        <v>57</v>
      </c>
      <c r="B72" s="18">
        <v>16</v>
      </c>
      <c r="C72" s="18">
        <v>76</v>
      </c>
      <c r="D72" s="18">
        <v>16</v>
      </c>
      <c r="E72" s="18">
        <v>1.2</v>
      </c>
      <c r="F72" s="18" t="s">
        <v>33</v>
      </c>
      <c r="G72" s="18" t="s">
        <v>48</v>
      </c>
      <c r="H72" s="18" t="s">
        <v>43</v>
      </c>
      <c r="I72" s="19" t="s">
        <v>44</v>
      </c>
      <c r="J72" s="19" t="s">
        <v>45</v>
      </c>
      <c r="K72" s="20" t="s">
        <v>46</v>
      </c>
      <c r="L72" s="18" t="s">
        <v>58</v>
      </c>
      <c r="M72" s="21">
        <f t="shared" si="6"/>
        <v>9.9995999999999992</v>
      </c>
      <c r="N72" s="21">
        <f t="shared" ref="N72:N79" si="7">E72*6.944</f>
        <v>8.3327999999999989</v>
      </c>
      <c r="O72" s="18"/>
      <c r="P72" s="18">
        <f t="shared" ref="P72:P79" si="8">E72*1.111</f>
        <v>1.3331999999999999</v>
      </c>
      <c r="Q72" s="18"/>
      <c r="R72" s="18">
        <f t="shared" ref="R72:R79" si="9">E72*0.278</f>
        <v>0.33360000000000001</v>
      </c>
      <c r="S72" s="23"/>
      <c r="T72" s="23"/>
      <c r="U72" s="24"/>
      <c r="V72" s="25"/>
      <c r="W72" s="1"/>
    </row>
    <row r="73" spans="1:23" ht="14.25" customHeight="1">
      <c r="A73" s="17" t="s">
        <v>57</v>
      </c>
      <c r="B73" s="18">
        <v>17</v>
      </c>
      <c r="C73" s="18">
        <v>10</v>
      </c>
      <c r="D73" s="18">
        <v>13</v>
      </c>
      <c r="E73" s="18">
        <v>2.2999999999999998</v>
      </c>
      <c r="F73" s="18" t="s">
        <v>33</v>
      </c>
      <c r="G73" s="18" t="s">
        <v>48</v>
      </c>
      <c r="H73" s="18" t="s">
        <v>43</v>
      </c>
      <c r="I73" s="19" t="s">
        <v>44</v>
      </c>
      <c r="J73" s="19" t="s">
        <v>45</v>
      </c>
      <c r="K73" s="20" t="s">
        <v>46</v>
      </c>
      <c r="L73" s="18" t="s">
        <v>58</v>
      </c>
      <c r="M73" s="21">
        <f t="shared" si="6"/>
        <v>19.165900000000001</v>
      </c>
      <c r="N73" s="21">
        <f t="shared" si="7"/>
        <v>15.971199999999998</v>
      </c>
      <c r="O73" s="18"/>
      <c r="P73" s="18">
        <f t="shared" si="8"/>
        <v>2.5552999999999999</v>
      </c>
      <c r="Q73" s="18"/>
      <c r="R73" s="18">
        <f t="shared" si="9"/>
        <v>0.63939999999999997</v>
      </c>
      <c r="S73" s="23"/>
      <c r="T73" s="23"/>
      <c r="U73" s="24"/>
      <c r="V73" s="25"/>
      <c r="W73" s="1"/>
    </row>
    <row r="74" spans="1:23" ht="14.25" customHeight="1">
      <c r="A74" s="17" t="s">
        <v>57</v>
      </c>
      <c r="B74" s="18">
        <v>18</v>
      </c>
      <c r="C74" s="18">
        <v>90</v>
      </c>
      <c r="D74" s="18">
        <v>2</v>
      </c>
      <c r="E74" s="18">
        <v>0.7</v>
      </c>
      <c r="F74" s="18" t="s">
        <v>33</v>
      </c>
      <c r="G74" s="18" t="s">
        <v>54</v>
      </c>
      <c r="H74" s="18" t="s">
        <v>43</v>
      </c>
      <c r="I74" s="19" t="s">
        <v>44</v>
      </c>
      <c r="J74" s="19" t="s">
        <v>45</v>
      </c>
      <c r="K74" s="20" t="s">
        <v>46</v>
      </c>
      <c r="L74" s="18" t="s">
        <v>70</v>
      </c>
      <c r="M74" s="21">
        <f t="shared" si="6"/>
        <v>5.8331</v>
      </c>
      <c r="N74" s="21">
        <f>E74*6.67</f>
        <v>4.6689999999999996</v>
      </c>
      <c r="O74" s="18"/>
      <c r="P74" s="18">
        <f>E74*1.67</f>
        <v>1.1689999999999998</v>
      </c>
      <c r="Q74" s="18"/>
      <c r="R74" s="18"/>
      <c r="S74" s="23"/>
      <c r="T74" s="23"/>
      <c r="U74" s="24"/>
      <c r="V74" s="25"/>
      <c r="W74" s="1"/>
    </row>
    <row r="75" spans="1:23" ht="14.25" customHeight="1">
      <c r="A75" s="17" t="s">
        <v>57</v>
      </c>
      <c r="B75" s="18">
        <v>19</v>
      </c>
      <c r="C75" s="18">
        <v>5</v>
      </c>
      <c r="D75" s="18">
        <v>5.0999999999999996</v>
      </c>
      <c r="E75" s="18">
        <v>1.2</v>
      </c>
      <c r="F75" s="18" t="s">
        <v>33</v>
      </c>
      <c r="G75" s="18" t="s">
        <v>48</v>
      </c>
      <c r="H75" s="18" t="s">
        <v>43</v>
      </c>
      <c r="I75" s="19" t="s">
        <v>44</v>
      </c>
      <c r="J75" s="19" t="s">
        <v>45</v>
      </c>
      <c r="K75" s="20" t="s">
        <v>46</v>
      </c>
      <c r="L75" s="18" t="s">
        <v>58</v>
      </c>
      <c r="M75" s="21">
        <f t="shared" si="6"/>
        <v>9.9995999999999992</v>
      </c>
      <c r="N75" s="21">
        <f t="shared" si="7"/>
        <v>8.3327999999999989</v>
      </c>
      <c r="O75" s="18"/>
      <c r="P75" s="18">
        <f t="shared" si="8"/>
        <v>1.3331999999999999</v>
      </c>
      <c r="Q75" s="18"/>
      <c r="R75" s="18">
        <f t="shared" si="9"/>
        <v>0.33360000000000001</v>
      </c>
      <c r="S75" s="23"/>
      <c r="T75" s="23"/>
      <c r="U75" s="24"/>
      <c r="V75" s="25"/>
      <c r="W75" s="1"/>
    </row>
    <row r="76" spans="1:23" ht="14.25" customHeight="1">
      <c r="A76" s="17" t="s">
        <v>57</v>
      </c>
      <c r="B76" s="18">
        <v>20</v>
      </c>
      <c r="C76" s="18">
        <v>19</v>
      </c>
      <c r="D76" s="18">
        <v>10</v>
      </c>
      <c r="E76" s="18">
        <v>1</v>
      </c>
      <c r="F76" s="18" t="s">
        <v>33</v>
      </c>
      <c r="G76" s="18" t="s">
        <v>54</v>
      </c>
      <c r="H76" s="18" t="s">
        <v>43</v>
      </c>
      <c r="I76" s="19" t="s">
        <v>44</v>
      </c>
      <c r="J76" s="19" t="s">
        <v>45</v>
      </c>
      <c r="K76" s="20" t="s">
        <v>46</v>
      </c>
      <c r="L76" s="18" t="s">
        <v>58</v>
      </c>
      <c r="M76" s="21">
        <f t="shared" si="6"/>
        <v>8.3330000000000002</v>
      </c>
      <c r="N76" s="21">
        <f t="shared" si="7"/>
        <v>6.944</v>
      </c>
      <c r="O76" s="18"/>
      <c r="P76" s="18">
        <f t="shared" si="8"/>
        <v>1.111</v>
      </c>
      <c r="Q76" s="18"/>
      <c r="R76" s="18">
        <f t="shared" si="9"/>
        <v>0.27800000000000002</v>
      </c>
      <c r="S76" s="23"/>
      <c r="T76" s="23"/>
      <c r="U76" s="24"/>
      <c r="V76" s="25"/>
      <c r="W76" s="1"/>
    </row>
    <row r="77" spans="1:23" ht="14.25" customHeight="1">
      <c r="A77" s="17" t="s">
        <v>57</v>
      </c>
      <c r="B77" s="18">
        <v>21</v>
      </c>
      <c r="C77" s="18">
        <v>10</v>
      </c>
      <c r="D77" s="18">
        <v>9.1</v>
      </c>
      <c r="E77" s="18">
        <v>0.7</v>
      </c>
      <c r="F77" s="18" t="s">
        <v>33</v>
      </c>
      <c r="G77" s="18" t="s">
        <v>48</v>
      </c>
      <c r="H77" s="18" t="s">
        <v>43</v>
      </c>
      <c r="I77" s="19" t="s">
        <v>44</v>
      </c>
      <c r="J77" s="19" t="s">
        <v>45</v>
      </c>
      <c r="K77" s="20" t="s">
        <v>46</v>
      </c>
      <c r="L77" s="18" t="s">
        <v>58</v>
      </c>
      <c r="M77" s="21">
        <f t="shared" si="6"/>
        <v>5.8331</v>
      </c>
      <c r="N77" s="21">
        <f t="shared" si="7"/>
        <v>4.8607999999999993</v>
      </c>
      <c r="O77" s="18"/>
      <c r="P77" s="18">
        <f t="shared" si="8"/>
        <v>0.77769999999999995</v>
      </c>
      <c r="Q77" s="18"/>
      <c r="R77" s="18">
        <f t="shared" si="9"/>
        <v>0.1946</v>
      </c>
      <c r="S77" s="23"/>
      <c r="T77" s="23"/>
      <c r="U77" s="24"/>
      <c r="V77" s="25"/>
      <c r="W77" s="1"/>
    </row>
    <row r="78" spans="1:23" ht="14.25" customHeight="1">
      <c r="A78" s="17" t="s">
        <v>57</v>
      </c>
      <c r="B78" s="18">
        <v>22</v>
      </c>
      <c r="C78" s="18">
        <v>10</v>
      </c>
      <c r="D78" s="18">
        <v>1.1000000000000001</v>
      </c>
      <c r="E78" s="18">
        <v>0.7</v>
      </c>
      <c r="F78" s="18" t="s">
        <v>33</v>
      </c>
      <c r="G78" s="18" t="s">
        <v>48</v>
      </c>
      <c r="H78" s="18" t="s">
        <v>43</v>
      </c>
      <c r="I78" s="19" t="s">
        <v>44</v>
      </c>
      <c r="J78" s="19" t="s">
        <v>45</v>
      </c>
      <c r="K78" s="20" t="s">
        <v>46</v>
      </c>
      <c r="L78" s="18" t="s">
        <v>58</v>
      </c>
      <c r="M78" s="21">
        <f t="shared" si="6"/>
        <v>5.8331</v>
      </c>
      <c r="N78" s="21">
        <f t="shared" si="7"/>
        <v>4.8607999999999993</v>
      </c>
      <c r="O78" s="18"/>
      <c r="P78" s="18">
        <f t="shared" si="8"/>
        <v>0.77769999999999995</v>
      </c>
      <c r="Q78" s="18"/>
      <c r="R78" s="18">
        <f t="shared" si="9"/>
        <v>0.1946</v>
      </c>
      <c r="S78" s="23"/>
      <c r="T78" s="23"/>
      <c r="U78" s="24"/>
      <c r="V78" s="25"/>
      <c r="W78" s="1"/>
    </row>
    <row r="79" spans="1:23" ht="14.25" customHeight="1">
      <c r="A79" s="17" t="s">
        <v>57</v>
      </c>
      <c r="B79" s="18">
        <v>23</v>
      </c>
      <c r="C79" s="18">
        <v>9</v>
      </c>
      <c r="D79" s="18">
        <v>7</v>
      </c>
      <c r="E79" s="18">
        <v>1.5</v>
      </c>
      <c r="F79" s="18" t="s">
        <v>33</v>
      </c>
      <c r="G79" s="18" t="s">
        <v>48</v>
      </c>
      <c r="H79" s="18" t="s">
        <v>43</v>
      </c>
      <c r="I79" s="19" t="s">
        <v>44</v>
      </c>
      <c r="J79" s="19" t="s">
        <v>45</v>
      </c>
      <c r="K79" s="20" t="s">
        <v>46</v>
      </c>
      <c r="L79" s="18" t="s">
        <v>58</v>
      </c>
      <c r="M79" s="21">
        <f t="shared" si="6"/>
        <v>12.499500000000001</v>
      </c>
      <c r="N79" s="21">
        <f t="shared" si="7"/>
        <v>10.416</v>
      </c>
      <c r="O79" s="18"/>
      <c r="P79" s="18">
        <f t="shared" si="8"/>
        <v>1.6665000000000001</v>
      </c>
      <c r="Q79" s="18"/>
      <c r="R79" s="18">
        <f t="shared" si="9"/>
        <v>0.41700000000000004</v>
      </c>
      <c r="S79" s="23"/>
      <c r="T79" s="23"/>
      <c r="U79" s="24"/>
      <c r="V79" s="25"/>
      <c r="W79" s="1"/>
    </row>
    <row r="80" spans="1:23" ht="14.25" customHeight="1">
      <c r="A80" s="17" t="s">
        <v>57</v>
      </c>
      <c r="B80" s="18">
        <v>24</v>
      </c>
      <c r="C80" s="18">
        <v>35</v>
      </c>
      <c r="D80" s="18">
        <v>3.2</v>
      </c>
      <c r="E80" s="18">
        <v>1.4</v>
      </c>
      <c r="F80" s="18" t="s">
        <v>33</v>
      </c>
      <c r="G80" s="18" t="s">
        <v>48</v>
      </c>
      <c r="H80" s="18" t="s">
        <v>43</v>
      </c>
      <c r="I80" s="19" t="s">
        <v>44</v>
      </c>
      <c r="J80" s="19" t="s">
        <v>45</v>
      </c>
      <c r="K80" s="20" t="s">
        <v>46</v>
      </c>
      <c r="L80" s="18" t="s">
        <v>56</v>
      </c>
      <c r="M80" s="21">
        <f t="shared" si="6"/>
        <v>11.6662</v>
      </c>
      <c r="N80" s="21">
        <f>E80*6.667</f>
        <v>9.3337999999999983</v>
      </c>
      <c r="O80" s="18"/>
      <c r="P80" s="18">
        <f>E80*1.67</f>
        <v>2.3379999999999996</v>
      </c>
      <c r="Q80" s="18"/>
      <c r="R80" s="18"/>
      <c r="S80" s="23"/>
      <c r="T80" s="23"/>
      <c r="U80" s="24"/>
      <c r="V80" s="25"/>
      <c r="W80" s="1"/>
    </row>
    <row r="81" spans="1:23" ht="14.25" customHeight="1">
      <c r="A81" s="17" t="s">
        <v>57</v>
      </c>
      <c r="B81" s="18">
        <v>25</v>
      </c>
      <c r="C81" s="18">
        <v>35</v>
      </c>
      <c r="D81" s="18">
        <v>3.1</v>
      </c>
      <c r="E81" s="18">
        <v>1.5</v>
      </c>
      <c r="F81" s="18" t="s">
        <v>33</v>
      </c>
      <c r="G81" s="18" t="s">
        <v>48</v>
      </c>
      <c r="H81" s="18" t="s">
        <v>43</v>
      </c>
      <c r="I81" s="19" t="s">
        <v>44</v>
      </c>
      <c r="J81" s="19" t="s">
        <v>45</v>
      </c>
      <c r="K81" s="20" t="s">
        <v>46</v>
      </c>
      <c r="L81" s="18" t="s">
        <v>56</v>
      </c>
      <c r="M81" s="21">
        <f t="shared" si="6"/>
        <v>12.499500000000001</v>
      </c>
      <c r="N81" s="21">
        <f>E81*6.667</f>
        <v>10.000499999999999</v>
      </c>
      <c r="O81" s="18"/>
      <c r="P81" s="18">
        <f>E81*1.667</f>
        <v>2.5005000000000002</v>
      </c>
      <c r="Q81" s="18"/>
      <c r="R81" s="18"/>
      <c r="S81" s="23"/>
      <c r="T81" s="23"/>
      <c r="U81" s="24"/>
      <c r="V81" s="25"/>
      <c r="W81" s="1"/>
    </row>
    <row r="82" spans="1:23" ht="14.25" customHeight="1">
      <c r="A82" s="17" t="s">
        <v>57</v>
      </c>
      <c r="B82" s="18">
        <v>26</v>
      </c>
      <c r="C82" s="18">
        <v>20</v>
      </c>
      <c r="D82" s="18">
        <v>17.100000000000001</v>
      </c>
      <c r="E82" s="18">
        <v>1</v>
      </c>
      <c r="F82" s="18" t="s">
        <v>33</v>
      </c>
      <c r="G82" s="18" t="s">
        <v>48</v>
      </c>
      <c r="H82" s="18" t="s">
        <v>43</v>
      </c>
      <c r="I82" s="19" t="s">
        <v>44</v>
      </c>
      <c r="J82" s="19" t="s">
        <v>45</v>
      </c>
      <c r="K82" s="20" t="s">
        <v>46</v>
      </c>
      <c r="L82" s="18" t="s">
        <v>58</v>
      </c>
      <c r="M82" s="21">
        <f t="shared" si="6"/>
        <v>8.3330000000000002</v>
      </c>
      <c r="N82" s="21">
        <f>E82*6.944</f>
        <v>6.944</v>
      </c>
      <c r="O82" s="18"/>
      <c r="P82" s="18">
        <f>E82*1.111</f>
        <v>1.111</v>
      </c>
      <c r="Q82" s="18"/>
      <c r="R82" s="18">
        <f>E82*0.278</f>
        <v>0.27800000000000002</v>
      </c>
      <c r="S82" s="23"/>
      <c r="T82" s="23"/>
      <c r="U82" s="24"/>
      <c r="V82" s="25"/>
      <c r="W82" s="1"/>
    </row>
    <row r="83" spans="1:23" ht="14.25" customHeight="1">
      <c r="A83" s="17" t="s">
        <v>57</v>
      </c>
      <c r="B83" s="18">
        <v>27</v>
      </c>
      <c r="C83" s="18">
        <v>62</v>
      </c>
      <c r="D83" s="18">
        <v>34</v>
      </c>
      <c r="E83" s="18">
        <v>1.5</v>
      </c>
      <c r="F83" s="18" t="s">
        <v>33</v>
      </c>
      <c r="G83" s="18" t="s">
        <v>165</v>
      </c>
      <c r="H83" s="18" t="s">
        <v>43</v>
      </c>
      <c r="I83" s="19" t="s">
        <v>44</v>
      </c>
      <c r="J83" s="19" t="s">
        <v>45</v>
      </c>
      <c r="K83" s="20" t="s">
        <v>60</v>
      </c>
      <c r="L83" s="18" t="s">
        <v>61</v>
      </c>
      <c r="M83" s="21">
        <f>E83*5.556</f>
        <v>8.3339999999999996</v>
      </c>
      <c r="N83" s="21"/>
      <c r="O83" s="21">
        <f>M83</f>
        <v>8.3339999999999996</v>
      </c>
      <c r="P83" s="18"/>
      <c r="Q83" s="18"/>
      <c r="R83" s="18"/>
      <c r="S83" s="23"/>
      <c r="T83" s="23"/>
      <c r="U83" s="24"/>
      <c r="V83" s="25"/>
      <c r="W83" s="1"/>
    </row>
    <row r="84" spans="1:23" ht="14.25" customHeight="1">
      <c r="A84" s="17" t="s">
        <v>57</v>
      </c>
      <c r="B84" s="18">
        <v>28</v>
      </c>
      <c r="C84" s="18">
        <v>34</v>
      </c>
      <c r="D84" s="18">
        <v>20</v>
      </c>
      <c r="E84" s="18">
        <v>0.7</v>
      </c>
      <c r="F84" s="18" t="s">
        <v>33</v>
      </c>
      <c r="G84" s="18" t="s">
        <v>64</v>
      </c>
      <c r="H84" s="18" t="s">
        <v>43</v>
      </c>
      <c r="I84" s="19" t="s">
        <v>44</v>
      </c>
      <c r="J84" s="19" t="s">
        <v>45</v>
      </c>
      <c r="K84" s="20" t="s">
        <v>46</v>
      </c>
      <c r="L84" s="18" t="s">
        <v>166</v>
      </c>
      <c r="M84" s="21">
        <f t="shared" si="6"/>
        <v>5.8331</v>
      </c>
      <c r="N84" s="21">
        <f>E84*5.208</f>
        <v>3.6456</v>
      </c>
      <c r="O84" s="18">
        <f>E84*3.125</f>
        <v>2.1875</v>
      </c>
      <c r="P84" s="18"/>
      <c r="Q84" s="18"/>
      <c r="R84" s="18"/>
      <c r="S84" s="23"/>
      <c r="T84" s="23"/>
      <c r="U84" s="24"/>
      <c r="V84" s="25"/>
      <c r="W84" s="1"/>
    </row>
    <row r="85" spans="1:23" ht="6" customHeight="1">
      <c r="A85" s="17"/>
      <c r="B85" s="33"/>
      <c r="C85" s="33"/>
      <c r="D85" s="33"/>
      <c r="E85" s="33"/>
      <c r="F85" s="18"/>
      <c r="G85" s="18"/>
      <c r="H85" s="18"/>
      <c r="I85" s="19"/>
      <c r="J85" s="19"/>
      <c r="K85" s="20"/>
      <c r="L85" s="18"/>
      <c r="M85" s="21"/>
      <c r="N85" s="21"/>
      <c r="O85" s="18"/>
      <c r="P85" s="18"/>
      <c r="Q85" s="18"/>
      <c r="R85" s="18"/>
      <c r="S85" s="23"/>
      <c r="T85" s="23"/>
      <c r="U85" s="24"/>
      <c r="V85" s="25"/>
      <c r="W85" s="1"/>
    </row>
    <row r="86" spans="1:23">
      <c r="A86" s="26"/>
      <c r="B86" s="27"/>
      <c r="C86" s="27"/>
      <c r="D86" s="27"/>
      <c r="E86" s="34">
        <f>SUM(E57:E84)</f>
        <v>37.5</v>
      </c>
      <c r="F86" s="27"/>
      <c r="G86" s="27"/>
      <c r="H86" s="18"/>
      <c r="I86" s="28"/>
      <c r="J86" s="28"/>
      <c r="K86" s="27"/>
      <c r="L86" s="27"/>
      <c r="M86" s="29">
        <f t="shared" ref="M86:R86" si="10">SUM(M57:M84)</f>
        <v>308.322</v>
      </c>
      <c r="N86" s="29">
        <f t="shared" si="10"/>
        <v>247.31529999999998</v>
      </c>
      <c r="O86" s="39">
        <f t="shared" si="10"/>
        <v>11.354899999999999</v>
      </c>
      <c r="P86" s="29">
        <f t="shared" si="10"/>
        <v>42.422899999999998</v>
      </c>
      <c r="Q86" s="29">
        <f t="shared" si="10"/>
        <v>0</v>
      </c>
      <c r="R86" s="29">
        <f t="shared" si="10"/>
        <v>7.2002000000000006</v>
      </c>
      <c r="S86" s="35"/>
      <c r="T86" s="35"/>
      <c r="U86" s="31"/>
      <c r="V86" s="15"/>
      <c r="W86" s="1"/>
    </row>
    <row r="87" spans="1:23" ht="13.5" customHeight="1">
      <c r="A87" s="140" t="s">
        <v>62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2"/>
      <c r="V87" s="15"/>
      <c r="W87" s="1"/>
    </row>
    <row r="88" spans="1:23" ht="14.25" customHeight="1">
      <c r="A88" s="18" t="s">
        <v>62</v>
      </c>
      <c r="B88" s="18">
        <v>1</v>
      </c>
      <c r="C88" s="36">
        <v>10</v>
      </c>
      <c r="D88" s="36">
        <v>10.1</v>
      </c>
      <c r="E88" s="36">
        <v>1.6</v>
      </c>
      <c r="F88" s="36" t="s">
        <v>33</v>
      </c>
      <c r="G88" s="36" t="s">
        <v>48</v>
      </c>
      <c r="H88" s="36" t="s">
        <v>43</v>
      </c>
      <c r="I88" s="19" t="s">
        <v>44</v>
      </c>
      <c r="J88" s="19" t="s">
        <v>45</v>
      </c>
      <c r="K88" s="20" t="s">
        <v>46</v>
      </c>
      <c r="L88" s="18" t="s">
        <v>63</v>
      </c>
      <c r="M88" s="21">
        <f>E88*8.333</f>
        <v>13.332800000000001</v>
      </c>
      <c r="N88" s="22">
        <f>E88*5.83</f>
        <v>9.3280000000000012</v>
      </c>
      <c r="O88" s="32"/>
      <c r="P88" s="32">
        <f>E88*2.5</f>
        <v>4</v>
      </c>
      <c r="Q88" s="32"/>
      <c r="R88" s="32"/>
      <c r="S88" s="32"/>
      <c r="T88" s="32"/>
      <c r="U88" s="27"/>
      <c r="V88" s="15"/>
      <c r="W88" s="1"/>
    </row>
    <row r="89" spans="1:23" ht="14.25" customHeight="1">
      <c r="A89" s="18" t="s">
        <v>62</v>
      </c>
      <c r="B89" s="18">
        <v>2</v>
      </c>
      <c r="C89" s="36">
        <v>10</v>
      </c>
      <c r="D89" s="36">
        <v>10.199999999999999</v>
      </c>
      <c r="E89" s="36">
        <v>1.9</v>
      </c>
      <c r="F89" s="36" t="s">
        <v>33</v>
      </c>
      <c r="G89" s="36" t="s">
        <v>48</v>
      </c>
      <c r="H89" s="36" t="s">
        <v>43</v>
      </c>
      <c r="I89" s="19" t="s">
        <v>44</v>
      </c>
      <c r="J89" s="19" t="s">
        <v>45</v>
      </c>
      <c r="K89" s="20" t="s">
        <v>46</v>
      </c>
      <c r="L89" s="18" t="s">
        <v>63</v>
      </c>
      <c r="M89" s="21">
        <f t="shared" ref="M89:M96" si="11">E89*8.333</f>
        <v>15.832699999999999</v>
      </c>
      <c r="N89" s="22">
        <f>E89*5.83</f>
        <v>11.077</v>
      </c>
      <c r="O89" s="32"/>
      <c r="P89" s="32">
        <f>E89*2.5</f>
        <v>4.75</v>
      </c>
      <c r="Q89" s="32"/>
      <c r="R89" s="32"/>
      <c r="S89" s="32"/>
      <c r="T89" s="32"/>
      <c r="U89" s="27"/>
      <c r="V89" s="15"/>
      <c r="W89" s="1"/>
    </row>
    <row r="90" spans="1:23" ht="14.25" customHeight="1">
      <c r="A90" s="18" t="s">
        <v>62</v>
      </c>
      <c r="B90" s="18">
        <v>3</v>
      </c>
      <c r="C90" s="36">
        <v>50</v>
      </c>
      <c r="D90" s="36">
        <v>19</v>
      </c>
      <c r="E90" s="36">
        <v>0.3</v>
      </c>
      <c r="F90" s="36" t="s">
        <v>33</v>
      </c>
      <c r="G90" s="36" t="s">
        <v>64</v>
      </c>
      <c r="H90" s="36" t="s">
        <v>43</v>
      </c>
      <c r="I90" s="19" t="s">
        <v>44</v>
      </c>
      <c r="J90" s="19" t="s">
        <v>45</v>
      </c>
      <c r="K90" s="20" t="s">
        <v>46</v>
      </c>
      <c r="L90" s="18" t="s">
        <v>51</v>
      </c>
      <c r="M90" s="21">
        <f t="shared" si="11"/>
        <v>2.4998999999999998</v>
      </c>
      <c r="N90" s="22">
        <f>E90*6.67</f>
        <v>2.0009999999999999</v>
      </c>
      <c r="O90" s="32">
        <f>E90*1.66</f>
        <v>0.49799999999999994</v>
      </c>
      <c r="P90" s="32"/>
      <c r="Q90" s="32"/>
      <c r="R90" s="32"/>
      <c r="S90" s="32"/>
      <c r="T90" s="32"/>
      <c r="U90" s="27"/>
      <c r="V90" s="15"/>
      <c r="W90" s="1"/>
    </row>
    <row r="91" spans="1:23" ht="14.25" customHeight="1">
      <c r="A91" s="18" t="s">
        <v>62</v>
      </c>
      <c r="B91" s="18">
        <v>4</v>
      </c>
      <c r="C91" s="36">
        <v>50</v>
      </c>
      <c r="D91" s="36">
        <v>20.100000000000001</v>
      </c>
      <c r="E91" s="36">
        <v>0.1</v>
      </c>
      <c r="F91" s="36" t="s">
        <v>33</v>
      </c>
      <c r="G91" s="36" t="s">
        <v>48</v>
      </c>
      <c r="H91" s="36" t="s">
        <v>43</v>
      </c>
      <c r="I91" s="19" t="s">
        <v>44</v>
      </c>
      <c r="J91" s="19" t="s">
        <v>45</v>
      </c>
      <c r="K91" s="20" t="s">
        <v>46</v>
      </c>
      <c r="L91" s="18" t="s">
        <v>51</v>
      </c>
      <c r="M91" s="21">
        <f t="shared" si="11"/>
        <v>0.83330000000000004</v>
      </c>
      <c r="N91" s="22">
        <f>E91*6.67</f>
        <v>0.66700000000000004</v>
      </c>
      <c r="O91" s="32">
        <f>E91*1.66</f>
        <v>0.16600000000000001</v>
      </c>
      <c r="P91" s="32"/>
      <c r="Q91" s="32"/>
      <c r="R91" s="32"/>
      <c r="S91" s="32"/>
      <c r="T91" s="32"/>
      <c r="U91" s="27"/>
      <c r="V91" s="15"/>
      <c r="W91" s="1"/>
    </row>
    <row r="92" spans="1:23" ht="14.25" customHeight="1">
      <c r="A92" s="18" t="s">
        <v>62</v>
      </c>
      <c r="B92" s="18">
        <v>5</v>
      </c>
      <c r="C92" s="36">
        <v>50</v>
      </c>
      <c r="D92" s="36">
        <v>5.0999999999999996</v>
      </c>
      <c r="E92" s="36">
        <v>1.4</v>
      </c>
      <c r="F92" s="36" t="s">
        <v>33</v>
      </c>
      <c r="G92" s="36" t="s">
        <v>64</v>
      </c>
      <c r="H92" s="36" t="s">
        <v>43</v>
      </c>
      <c r="I92" s="19" t="s">
        <v>44</v>
      </c>
      <c r="J92" s="19" t="s">
        <v>45</v>
      </c>
      <c r="K92" s="20" t="s">
        <v>46</v>
      </c>
      <c r="L92" s="18" t="s">
        <v>51</v>
      </c>
      <c r="M92" s="21">
        <f t="shared" si="11"/>
        <v>11.6662</v>
      </c>
      <c r="N92" s="22">
        <f>E92*6.67</f>
        <v>9.3379999999999992</v>
      </c>
      <c r="O92" s="32">
        <f>E92*1.66</f>
        <v>2.3239999999999998</v>
      </c>
      <c r="P92" s="32"/>
      <c r="Q92" s="32"/>
      <c r="R92" s="32"/>
      <c r="S92" s="32"/>
      <c r="T92" s="32"/>
      <c r="U92" s="27"/>
      <c r="V92" s="15"/>
      <c r="W92" s="1"/>
    </row>
    <row r="93" spans="1:23" ht="14.25" customHeight="1">
      <c r="A93" s="18" t="s">
        <v>62</v>
      </c>
      <c r="B93" s="18">
        <v>6</v>
      </c>
      <c r="C93" s="36">
        <v>52</v>
      </c>
      <c r="D93" s="36">
        <v>1.1000000000000001</v>
      </c>
      <c r="E93" s="36">
        <v>1.6</v>
      </c>
      <c r="F93" s="36" t="s">
        <v>33</v>
      </c>
      <c r="G93" s="36" t="s">
        <v>48</v>
      </c>
      <c r="H93" s="36" t="s">
        <v>43</v>
      </c>
      <c r="I93" s="19" t="s">
        <v>44</v>
      </c>
      <c r="J93" s="19" t="s">
        <v>45</v>
      </c>
      <c r="K93" s="20" t="s">
        <v>46</v>
      </c>
      <c r="L93" s="18" t="s">
        <v>63</v>
      </c>
      <c r="M93" s="21">
        <f t="shared" si="11"/>
        <v>13.332800000000001</v>
      </c>
      <c r="N93" s="22">
        <f>E93*5.83</f>
        <v>9.3280000000000012</v>
      </c>
      <c r="O93" s="32"/>
      <c r="P93" s="32">
        <f>E93*2.5</f>
        <v>4</v>
      </c>
      <c r="Q93" s="32"/>
      <c r="R93" s="32"/>
      <c r="S93" s="32"/>
      <c r="T93" s="32"/>
      <c r="U93" s="27"/>
      <c r="V93" s="15"/>
      <c r="W93" s="1"/>
    </row>
    <row r="94" spans="1:23" ht="14.25" customHeight="1">
      <c r="A94" s="18" t="s">
        <v>62</v>
      </c>
      <c r="B94" s="18">
        <v>7</v>
      </c>
      <c r="C94" s="36">
        <v>11</v>
      </c>
      <c r="D94" s="36">
        <v>4.0999999999999996</v>
      </c>
      <c r="E94" s="36">
        <v>1.5</v>
      </c>
      <c r="F94" s="36" t="s">
        <v>33</v>
      </c>
      <c r="G94" s="36" t="s">
        <v>48</v>
      </c>
      <c r="H94" s="36" t="s">
        <v>43</v>
      </c>
      <c r="I94" s="19" t="s">
        <v>44</v>
      </c>
      <c r="J94" s="19" t="s">
        <v>45</v>
      </c>
      <c r="K94" s="20" t="s">
        <v>46</v>
      </c>
      <c r="L94" s="18" t="s">
        <v>63</v>
      </c>
      <c r="M94" s="21">
        <f t="shared" si="11"/>
        <v>12.499500000000001</v>
      </c>
      <c r="N94" s="22">
        <f>E94*5.83</f>
        <v>8.745000000000001</v>
      </c>
      <c r="O94" s="32"/>
      <c r="P94" s="32">
        <f>E94*2.5</f>
        <v>3.75</v>
      </c>
      <c r="Q94" s="32"/>
      <c r="R94" s="32"/>
      <c r="S94" s="32"/>
      <c r="T94" s="32"/>
      <c r="U94" s="27"/>
      <c r="V94" s="15"/>
      <c r="W94" s="1"/>
    </row>
    <row r="95" spans="1:23" ht="14.25" customHeight="1">
      <c r="A95" s="18" t="s">
        <v>62</v>
      </c>
      <c r="B95" s="18">
        <v>8</v>
      </c>
      <c r="C95" s="36">
        <v>11</v>
      </c>
      <c r="D95" s="36">
        <v>4.2</v>
      </c>
      <c r="E95" s="36">
        <v>1.6</v>
      </c>
      <c r="F95" s="36" t="s">
        <v>33</v>
      </c>
      <c r="G95" s="36" t="s">
        <v>48</v>
      </c>
      <c r="H95" s="36" t="s">
        <v>43</v>
      </c>
      <c r="I95" s="19" t="s">
        <v>44</v>
      </c>
      <c r="J95" s="19" t="s">
        <v>45</v>
      </c>
      <c r="K95" s="20" t="s">
        <v>46</v>
      </c>
      <c r="L95" s="18" t="s">
        <v>63</v>
      </c>
      <c r="M95" s="21">
        <f t="shared" si="11"/>
        <v>13.332800000000001</v>
      </c>
      <c r="N95" s="22">
        <f>E95*5.83</f>
        <v>9.3280000000000012</v>
      </c>
      <c r="O95" s="32"/>
      <c r="P95" s="32">
        <f>E95*2.5</f>
        <v>4</v>
      </c>
      <c r="Q95" s="32"/>
      <c r="R95" s="32"/>
      <c r="S95" s="32"/>
      <c r="T95" s="32"/>
      <c r="U95" s="27"/>
      <c r="V95" s="15"/>
      <c r="W95" s="1"/>
    </row>
    <row r="96" spans="1:23" ht="14.25" customHeight="1">
      <c r="A96" s="18" t="s">
        <v>62</v>
      </c>
      <c r="B96" s="18">
        <v>9</v>
      </c>
      <c r="C96" s="36">
        <v>11</v>
      </c>
      <c r="D96" s="36">
        <v>4.3</v>
      </c>
      <c r="E96" s="36">
        <v>1.5</v>
      </c>
      <c r="F96" s="36" t="s">
        <v>33</v>
      </c>
      <c r="G96" s="36" t="s">
        <v>48</v>
      </c>
      <c r="H96" s="36" t="s">
        <v>43</v>
      </c>
      <c r="I96" s="19" t="s">
        <v>44</v>
      </c>
      <c r="J96" s="19" t="s">
        <v>45</v>
      </c>
      <c r="K96" s="20" t="s">
        <v>46</v>
      </c>
      <c r="L96" s="18" t="s">
        <v>63</v>
      </c>
      <c r="M96" s="21">
        <f t="shared" si="11"/>
        <v>12.499500000000001</v>
      </c>
      <c r="N96" s="22">
        <f>E96*5.83</f>
        <v>8.745000000000001</v>
      </c>
      <c r="O96" s="32"/>
      <c r="P96" s="32">
        <f>E96*2.5</f>
        <v>3.75</v>
      </c>
      <c r="Q96" s="32"/>
      <c r="R96" s="32"/>
      <c r="S96" s="32"/>
      <c r="T96" s="32"/>
      <c r="U96" s="27"/>
      <c r="V96" s="15"/>
      <c r="W96" s="1"/>
    </row>
    <row r="97" spans="1:23" ht="6" customHeight="1">
      <c r="A97" s="27"/>
      <c r="B97" s="18"/>
      <c r="C97" s="18"/>
      <c r="D97" s="18"/>
      <c r="E97" s="22"/>
      <c r="F97" s="18"/>
      <c r="G97" s="18"/>
      <c r="H97" s="18"/>
      <c r="I97" s="19"/>
      <c r="J97" s="19"/>
      <c r="K97" s="18"/>
      <c r="L97" s="18"/>
      <c r="M97" s="37"/>
      <c r="N97" s="37"/>
      <c r="O97" s="37"/>
      <c r="P97" s="38"/>
      <c r="Q97" s="38"/>
      <c r="R97" s="38"/>
      <c r="S97" s="38"/>
      <c r="T97" s="38"/>
      <c r="U97" s="27"/>
      <c r="V97" s="15"/>
      <c r="W97" s="1"/>
    </row>
    <row r="98" spans="1:23">
      <c r="A98" s="27"/>
      <c r="B98" s="27"/>
      <c r="C98" s="27"/>
      <c r="D98" s="27"/>
      <c r="E98" s="39">
        <f>SUM(E88:E97)</f>
        <v>11.5</v>
      </c>
      <c r="F98" s="39"/>
      <c r="G98" s="39"/>
      <c r="H98" s="39"/>
      <c r="I98" s="39"/>
      <c r="J98" s="39"/>
      <c r="K98" s="39"/>
      <c r="L98" s="39"/>
      <c r="M98" s="29">
        <f>SUM(M88:M97)</f>
        <v>95.82950000000001</v>
      </c>
      <c r="N98" s="29">
        <f>SUM(N88:N97)</f>
        <v>68.557000000000016</v>
      </c>
      <c r="O98" s="29">
        <f>SUM(O88:O97)</f>
        <v>2.9879999999999995</v>
      </c>
      <c r="P98" s="29">
        <f>SUM(P88:P97)</f>
        <v>24.25</v>
      </c>
      <c r="Q98" s="29"/>
      <c r="R98" s="39"/>
      <c r="S98" s="39"/>
      <c r="T98" s="39"/>
      <c r="U98" s="27"/>
      <c r="V98" s="15"/>
      <c r="W98" s="1"/>
    </row>
    <row r="99" spans="1:23" ht="13.5" customHeight="1">
      <c r="A99" s="140" t="s">
        <v>65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2"/>
      <c r="V99" s="16"/>
      <c r="W99" s="1"/>
    </row>
    <row r="100" spans="1:23" ht="14.25" customHeight="1">
      <c r="A100" s="17" t="s">
        <v>65</v>
      </c>
      <c r="B100" s="18">
        <v>1</v>
      </c>
      <c r="C100" s="18">
        <v>41</v>
      </c>
      <c r="D100" s="18">
        <v>13.1</v>
      </c>
      <c r="E100" s="18">
        <v>1.3</v>
      </c>
      <c r="F100" s="18" t="s">
        <v>33</v>
      </c>
      <c r="G100" s="18" t="s">
        <v>64</v>
      </c>
      <c r="H100" s="18" t="s">
        <v>43</v>
      </c>
      <c r="I100" s="19" t="s">
        <v>44</v>
      </c>
      <c r="J100" s="19" t="s">
        <v>45</v>
      </c>
      <c r="K100" s="20" t="s">
        <v>46</v>
      </c>
      <c r="L100" s="18" t="s">
        <v>55</v>
      </c>
      <c r="M100" s="21">
        <f>E100*8.333</f>
        <v>10.8329</v>
      </c>
      <c r="N100" s="21">
        <f>M100</f>
        <v>10.8329</v>
      </c>
      <c r="O100" s="18"/>
      <c r="P100" s="18"/>
      <c r="Q100" s="18"/>
      <c r="R100" s="18"/>
      <c r="S100" s="23"/>
      <c r="T100" s="23"/>
      <c r="U100" s="24"/>
      <c r="V100" s="25"/>
      <c r="W100" s="1"/>
    </row>
    <row r="101" spans="1:23" ht="14.25" customHeight="1">
      <c r="A101" s="17" t="s">
        <v>65</v>
      </c>
      <c r="B101" s="18">
        <v>2</v>
      </c>
      <c r="C101" s="18">
        <v>14</v>
      </c>
      <c r="D101" s="18">
        <v>12.1</v>
      </c>
      <c r="E101" s="18">
        <v>2.4</v>
      </c>
      <c r="F101" s="18" t="s">
        <v>33</v>
      </c>
      <c r="G101" s="18" t="s">
        <v>48</v>
      </c>
      <c r="H101" s="18" t="s">
        <v>43</v>
      </c>
      <c r="I101" s="19" t="s">
        <v>44</v>
      </c>
      <c r="J101" s="19" t="s">
        <v>45</v>
      </c>
      <c r="K101" s="20" t="s">
        <v>46</v>
      </c>
      <c r="L101" s="18" t="s">
        <v>55</v>
      </c>
      <c r="M101" s="21">
        <f t="shared" ref="M101:M108" si="12">E101*8.333</f>
        <v>19.999199999999998</v>
      </c>
      <c r="N101" s="21">
        <f>M101</f>
        <v>19.999199999999998</v>
      </c>
      <c r="O101" s="18"/>
      <c r="P101" s="18"/>
      <c r="Q101" s="18"/>
      <c r="R101" s="18"/>
      <c r="S101" s="23"/>
      <c r="T101" s="23"/>
      <c r="U101" s="24"/>
      <c r="V101" s="25"/>
      <c r="W101" s="1"/>
    </row>
    <row r="102" spans="1:23" ht="14.25" customHeight="1">
      <c r="A102" s="17" t="s">
        <v>65</v>
      </c>
      <c r="B102" s="18">
        <v>3</v>
      </c>
      <c r="C102" s="18">
        <v>76</v>
      </c>
      <c r="D102" s="18">
        <v>6.1</v>
      </c>
      <c r="E102" s="18">
        <v>0.7</v>
      </c>
      <c r="F102" s="18" t="s">
        <v>33</v>
      </c>
      <c r="G102" s="18" t="s">
        <v>48</v>
      </c>
      <c r="H102" s="18" t="s">
        <v>43</v>
      </c>
      <c r="I102" s="19" t="s">
        <v>44</v>
      </c>
      <c r="J102" s="19" t="s">
        <v>45</v>
      </c>
      <c r="K102" s="20" t="s">
        <v>46</v>
      </c>
      <c r="L102" s="18" t="s">
        <v>177</v>
      </c>
      <c r="M102" s="21">
        <f t="shared" si="12"/>
        <v>5.8331</v>
      </c>
      <c r="N102" s="21">
        <f>E102*6.67</f>
        <v>4.6689999999999996</v>
      </c>
      <c r="O102" s="18"/>
      <c r="P102" s="18"/>
      <c r="Q102" s="18">
        <f>E102*1.67</f>
        <v>1.1689999999999998</v>
      </c>
      <c r="R102" s="18"/>
      <c r="S102" s="23"/>
      <c r="T102" s="23"/>
      <c r="U102" s="24"/>
      <c r="V102" s="25"/>
      <c r="W102" s="1"/>
    </row>
    <row r="103" spans="1:23" ht="14.25" customHeight="1">
      <c r="A103" s="17" t="s">
        <v>65</v>
      </c>
      <c r="B103" s="18">
        <v>4</v>
      </c>
      <c r="C103" s="18">
        <v>84</v>
      </c>
      <c r="D103" s="18">
        <v>11.1</v>
      </c>
      <c r="E103" s="18">
        <v>0.4</v>
      </c>
      <c r="F103" s="18" t="s">
        <v>33</v>
      </c>
      <c r="G103" s="18" t="s">
        <v>54</v>
      </c>
      <c r="H103" s="18" t="s">
        <v>43</v>
      </c>
      <c r="I103" s="19" t="s">
        <v>44</v>
      </c>
      <c r="J103" s="19" t="s">
        <v>45</v>
      </c>
      <c r="K103" s="20" t="s">
        <v>46</v>
      </c>
      <c r="L103" s="18" t="s">
        <v>177</v>
      </c>
      <c r="M103" s="21">
        <f t="shared" si="12"/>
        <v>3.3332000000000002</v>
      </c>
      <c r="N103" s="21">
        <f t="shared" ref="N103:N111" si="13">E103*6.67</f>
        <v>2.6680000000000001</v>
      </c>
      <c r="O103" s="18"/>
      <c r="P103" s="18"/>
      <c r="Q103" s="18">
        <f t="shared" ref="Q103:Q111" si="14">E103*1.67</f>
        <v>0.66800000000000004</v>
      </c>
      <c r="R103" s="18"/>
      <c r="S103" s="23"/>
      <c r="T103" s="23"/>
      <c r="U103" s="24"/>
      <c r="V103" s="25"/>
      <c r="W103" s="1"/>
    </row>
    <row r="104" spans="1:23" ht="14.25" customHeight="1">
      <c r="A104" s="17" t="s">
        <v>65</v>
      </c>
      <c r="B104" s="18">
        <v>5</v>
      </c>
      <c r="C104" s="18">
        <v>87</v>
      </c>
      <c r="D104" s="18">
        <v>7.1</v>
      </c>
      <c r="E104" s="18">
        <v>0.3</v>
      </c>
      <c r="F104" s="18" t="s">
        <v>33</v>
      </c>
      <c r="G104" s="18" t="s">
        <v>48</v>
      </c>
      <c r="H104" s="18" t="s">
        <v>43</v>
      </c>
      <c r="I104" s="19" t="s">
        <v>44</v>
      </c>
      <c r="J104" s="19" t="s">
        <v>45</v>
      </c>
      <c r="K104" s="20" t="s">
        <v>46</v>
      </c>
      <c r="L104" s="18" t="s">
        <v>177</v>
      </c>
      <c r="M104" s="21">
        <f t="shared" si="12"/>
        <v>2.4998999999999998</v>
      </c>
      <c r="N104" s="21">
        <f t="shared" si="13"/>
        <v>2.0009999999999999</v>
      </c>
      <c r="O104" s="18"/>
      <c r="P104" s="18"/>
      <c r="Q104" s="18">
        <f t="shared" si="14"/>
        <v>0.501</v>
      </c>
      <c r="R104" s="18"/>
      <c r="S104" s="23"/>
      <c r="T104" s="23"/>
      <c r="U104" s="24"/>
      <c r="V104" s="25"/>
      <c r="W104" s="1"/>
    </row>
    <row r="105" spans="1:23" ht="14.25" customHeight="1">
      <c r="A105" s="17" t="s">
        <v>65</v>
      </c>
      <c r="B105" s="18">
        <v>6</v>
      </c>
      <c r="C105" s="18">
        <v>96</v>
      </c>
      <c r="D105" s="18">
        <v>3.1</v>
      </c>
      <c r="E105" s="18">
        <v>0.7</v>
      </c>
      <c r="F105" s="18" t="s">
        <v>33</v>
      </c>
      <c r="G105" s="18" t="s">
        <v>48</v>
      </c>
      <c r="H105" s="18" t="s">
        <v>43</v>
      </c>
      <c r="I105" s="19" t="s">
        <v>44</v>
      </c>
      <c r="J105" s="19" t="s">
        <v>45</v>
      </c>
      <c r="K105" s="20" t="s">
        <v>46</v>
      </c>
      <c r="L105" s="18" t="s">
        <v>177</v>
      </c>
      <c r="M105" s="21">
        <f t="shared" si="12"/>
        <v>5.8331</v>
      </c>
      <c r="N105" s="21">
        <f t="shared" si="13"/>
        <v>4.6689999999999996</v>
      </c>
      <c r="O105" s="18"/>
      <c r="P105" s="18"/>
      <c r="Q105" s="18">
        <f t="shared" si="14"/>
        <v>1.1689999999999998</v>
      </c>
      <c r="R105" s="18"/>
      <c r="S105" s="23"/>
      <c r="T105" s="23"/>
      <c r="U105" s="24"/>
      <c r="V105" s="25"/>
      <c r="W105" s="1"/>
    </row>
    <row r="106" spans="1:23" ht="14.25" customHeight="1">
      <c r="A106" s="17" t="s">
        <v>65</v>
      </c>
      <c r="B106" s="18">
        <v>7</v>
      </c>
      <c r="C106" s="18">
        <v>96</v>
      </c>
      <c r="D106" s="18">
        <v>6.1</v>
      </c>
      <c r="E106" s="18">
        <v>1.1000000000000001</v>
      </c>
      <c r="F106" s="18" t="s">
        <v>33</v>
      </c>
      <c r="G106" s="18" t="s">
        <v>48</v>
      </c>
      <c r="H106" s="18" t="s">
        <v>43</v>
      </c>
      <c r="I106" s="19" t="s">
        <v>44</v>
      </c>
      <c r="J106" s="19" t="s">
        <v>45</v>
      </c>
      <c r="K106" s="20" t="s">
        <v>46</v>
      </c>
      <c r="L106" s="18" t="s">
        <v>177</v>
      </c>
      <c r="M106" s="21">
        <f t="shared" si="12"/>
        <v>9.1663000000000014</v>
      </c>
      <c r="N106" s="21">
        <f t="shared" si="13"/>
        <v>7.3370000000000006</v>
      </c>
      <c r="O106" s="18"/>
      <c r="P106" s="18"/>
      <c r="Q106" s="18">
        <f t="shared" si="14"/>
        <v>1.837</v>
      </c>
      <c r="R106" s="18"/>
      <c r="S106" s="23"/>
      <c r="T106" s="23"/>
      <c r="U106" s="24"/>
      <c r="V106" s="25"/>
      <c r="W106" s="1"/>
    </row>
    <row r="107" spans="1:23" ht="14.25" customHeight="1">
      <c r="A107" s="17" t="s">
        <v>65</v>
      </c>
      <c r="B107" s="18">
        <v>8</v>
      </c>
      <c r="C107" s="18">
        <v>96</v>
      </c>
      <c r="D107" s="18">
        <v>5.0999999999999996</v>
      </c>
      <c r="E107" s="18">
        <v>0.7</v>
      </c>
      <c r="F107" s="18" t="s">
        <v>33</v>
      </c>
      <c r="G107" s="18" t="s">
        <v>48</v>
      </c>
      <c r="H107" s="18" t="s">
        <v>43</v>
      </c>
      <c r="I107" s="19" t="s">
        <v>44</v>
      </c>
      <c r="J107" s="19" t="s">
        <v>45</v>
      </c>
      <c r="K107" s="20" t="s">
        <v>46</v>
      </c>
      <c r="L107" s="18" t="s">
        <v>177</v>
      </c>
      <c r="M107" s="21">
        <f t="shared" si="12"/>
        <v>5.8331</v>
      </c>
      <c r="N107" s="21">
        <f t="shared" si="13"/>
        <v>4.6689999999999996</v>
      </c>
      <c r="O107" s="18"/>
      <c r="P107" s="18"/>
      <c r="Q107" s="18">
        <f t="shared" si="14"/>
        <v>1.1689999999999998</v>
      </c>
      <c r="R107" s="18"/>
      <c r="S107" s="23"/>
      <c r="T107" s="23"/>
      <c r="U107" s="24"/>
      <c r="V107" s="25"/>
      <c r="W107" s="1"/>
    </row>
    <row r="108" spans="1:23" ht="14.25" customHeight="1">
      <c r="A108" s="17" t="s">
        <v>65</v>
      </c>
      <c r="B108" s="18">
        <v>9</v>
      </c>
      <c r="C108" s="18">
        <v>87</v>
      </c>
      <c r="D108" s="18">
        <v>6.1</v>
      </c>
      <c r="E108" s="18">
        <v>1.5</v>
      </c>
      <c r="F108" s="18" t="s">
        <v>33</v>
      </c>
      <c r="G108" s="18" t="s">
        <v>48</v>
      </c>
      <c r="H108" s="18" t="s">
        <v>43</v>
      </c>
      <c r="I108" s="19" t="s">
        <v>44</v>
      </c>
      <c r="J108" s="19" t="s">
        <v>45</v>
      </c>
      <c r="K108" s="20" t="s">
        <v>46</v>
      </c>
      <c r="L108" s="18" t="s">
        <v>177</v>
      </c>
      <c r="M108" s="21">
        <f t="shared" si="12"/>
        <v>12.499500000000001</v>
      </c>
      <c r="N108" s="21">
        <f t="shared" si="13"/>
        <v>10.004999999999999</v>
      </c>
      <c r="O108" s="18"/>
      <c r="P108" s="18"/>
      <c r="Q108" s="18">
        <f t="shared" si="14"/>
        <v>2.5049999999999999</v>
      </c>
      <c r="R108" s="18"/>
      <c r="S108" s="23"/>
      <c r="T108" s="23"/>
      <c r="U108" s="24"/>
      <c r="V108" s="25"/>
      <c r="W108" s="1"/>
    </row>
    <row r="109" spans="1:23" ht="14.25" customHeight="1">
      <c r="A109" s="17" t="s">
        <v>65</v>
      </c>
      <c r="B109" s="18">
        <v>10</v>
      </c>
      <c r="C109" s="18">
        <v>84</v>
      </c>
      <c r="D109" s="18">
        <v>12.1</v>
      </c>
      <c r="E109" s="18">
        <v>1</v>
      </c>
      <c r="F109" s="18" t="s">
        <v>33</v>
      </c>
      <c r="G109" s="18" t="s">
        <v>64</v>
      </c>
      <c r="H109" s="18" t="s">
        <v>43</v>
      </c>
      <c r="I109" s="19" t="s">
        <v>44</v>
      </c>
      <c r="J109" s="19" t="s">
        <v>45</v>
      </c>
      <c r="K109" s="20" t="s">
        <v>46</v>
      </c>
      <c r="L109" s="18" t="s">
        <v>177</v>
      </c>
      <c r="M109" s="21">
        <f>E109*8.333</f>
        <v>8.3330000000000002</v>
      </c>
      <c r="N109" s="21">
        <f t="shared" si="13"/>
        <v>6.67</v>
      </c>
      <c r="O109" s="18"/>
      <c r="P109" s="18"/>
      <c r="Q109" s="18">
        <f t="shared" si="14"/>
        <v>1.67</v>
      </c>
      <c r="R109" s="18"/>
      <c r="S109" s="23"/>
      <c r="T109" s="23"/>
      <c r="U109" s="24"/>
      <c r="V109" s="25"/>
      <c r="W109" s="1"/>
    </row>
    <row r="110" spans="1:23" ht="14.25" customHeight="1">
      <c r="A110" s="17" t="s">
        <v>65</v>
      </c>
      <c r="B110" s="18">
        <v>11</v>
      </c>
      <c r="C110" s="18">
        <v>84</v>
      </c>
      <c r="D110" s="18">
        <v>2.1</v>
      </c>
      <c r="E110" s="18">
        <v>0.9</v>
      </c>
      <c r="F110" s="18" t="s">
        <v>33</v>
      </c>
      <c r="G110" s="18" t="s">
        <v>48</v>
      </c>
      <c r="H110" s="18" t="s">
        <v>43</v>
      </c>
      <c r="I110" s="19" t="s">
        <v>44</v>
      </c>
      <c r="J110" s="19" t="s">
        <v>45</v>
      </c>
      <c r="K110" s="20" t="s">
        <v>46</v>
      </c>
      <c r="L110" s="18" t="s">
        <v>177</v>
      </c>
      <c r="M110" s="21">
        <f>E110*8.333</f>
        <v>7.4997000000000007</v>
      </c>
      <c r="N110" s="21">
        <f t="shared" si="13"/>
        <v>6.0030000000000001</v>
      </c>
      <c r="O110" s="18"/>
      <c r="P110" s="18"/>
      <c r="Q110" s="18">
        <f t="shared" si="14"/>
        <v>1.5029999999999999</v>
      </c>
      <c r="R110" s="18"/>
      <c r="S110" s="23"/>
      <c r="T110" s="23"/>
      <c r="U110" s="24"/>
      <c r="V110" s="25"/>
      <c r="W110" s="1"/>
    </row>
    <row r="111" spans="1:23" ht="14.25" customHeight="1">
      <c r="A111" s="17" t="s">
        <v>65</v>
      </c>
      <c r="B111" s="18">
        <v>12</v>
      </c>
      <c r="C111" s="18">
        <v>83</v>
      </c>
      <c r="D111" s="18">
        <v>26</v>
      </c>
      <c r="E111" s="18">
        <v>0.7</v>
      </c>
      <c r="F111" s="18" t="s">
        <v>33</v>
      </c>
      <c r="G111" s="18" t="s">
        <v>48</v>
      </c>
      <c r="H111" s="18" t="s">
        <v>43</v>
      </c>
      <c r="I111" s="19" t="s">
        <v>44</v>
      </c>
      <c r="J111" s="19" t="s">
        <v>45</v>
      </c>
      <c r="K111" s="20" t="s">
        <v>46</v>
      </c>
      <c r="L111" s="18" t="s">
        <v>177</v>
      </c>
      <c r="M111" s="21">
        <f>E111*8.333</f>
        <v>5.8331</v>
      </c>
      <c r="N111" s="21">
        <f t="shared" si="13"/>
        <v>4.6689999999999996</v>
      </c>
      <c r="O111" s="18"/>
      <c r="P111" s="18"/>
      <c r="Q111" s="18">
        <f t="shared" si="14"/>
        <v>1.1689999999999998</v>
      </c>
      <c r="R111" s="18"/>
      <c r="S111" s="23"/>
      <c r="T111" s="23"/>
      <c r="U111" s="24"/>
      <c r="V111" s="25"/>
      <c r="W111" s="1"/>
    </row>
    <row r="112" spans="1:23" ht="14.25" customHeight="1">
      <c r="A112" s="17" t="s">
        <v>65</v>
      </c>
      <c r="B112" s="18">
        <v>13</v>
      </c>
      <c r="C112" s="18">
        <v>88</v>
      </c>
      <c r="D112" s="18">
        <v>8.1999999999999993</v>
      </c>
      <c r="E112" s="18">
        <v>0.8</v>
      </c>
      <c r="F112" s="18" t="s">
        <v>33</v>
      </c>
      <c r="G112" s="18" t="s">
        <v>54</v>
      </c>
      <c r="H112" s="18" t="s">
        <v>43</v>
      </c>
      <c r="I112" s="19" t="s">
        <v>44</v>
      </c>
      <c r="J112" s="19" t="s">
        <v>45</v>
      </c>
      <c r="K112" s="20" t="s">
        <v>46</v>
      </c>
      <c r="L112" s="18" t="s">
        <v>55</v>
      </c>
      <c r="M112" s="21">
        <f>E112*8.333</f>
        <v>6.6664000000000003</v>
      </c>
      <c r="N112" s="21">
        <f>M112</f>
        <v>6.6664000000000003</v>
      </c>
      <c r="O112" s="18"/>
      <c r="P112" s="18"/>
      <c r="Q112" s="18"/>
      <c r="R112" s="18"/>
      <c r="S112" s="23"/>
      <c r="T112" s="23"/>
      <c r="U112" s="24"/>
      <c r="V112" s="25"/>
      <c r="W112" s="1"/>
    </row>
    <row r="113" spans="1:23" ht="6" customHeight="1">
      <c r="A113" s="17"/>
      <c r="B113" s="18"/>
      <c r="C113" s="18"/>
      <c r="D113" s="18"/>
      <c r="E113" s="18"/>
      <c r="F113" s="18"/>
      <c r="G113" s="18"/>
      <c r="H113" s="18"/>
      <c r="I113" s="19"/>
      <c r="J113" s="19"/>
      <c r="K113" s="20"/>
      <c r="L113" s="18"/>
      <c r="M113" s="21"/>
      <c r="N113" s="21"/>
      <c r="O113" s="18"/>
      <c r="P113" s="18"/>
      <c r="Q113" s="18"/>
      <c r="R113" s="18"/>
      <c r="S113" s="23"/>
      <c r="T113" s="23"/>
      <c r="U113" s="24"/>
      <c r="V113" s="25"/>
      <c r="W113" s="1"/>
    </row>
    <row r="114" spans="1:23">
      <c r="A114" s="26"/>
      <c r="B114" s="27"/>
      <c r="C114" s="27"/>
      <c r="D114" s="27"/>
      <c r="E114" s="40">
        <f>SUM(E100:E112)</f>
        <v>12.500000000000002</v>
      </c>
      <c r="F114" s="27"/>
      <c r="G114" s="27"/>
      <c r="H114" s="27"/>
      <c r="I114" s="28"/>
      <c r="J114" s="28"/>
      <c r="K114" s="27"/>
      <c r="L114" s="27"/>
      <c r="M114" s="29">
        <f t="shared" ref="M114:S114" si="15">SUM(M100:M112)</f>
        <v>104.16249999999999</v>
      </c>
      <c r="N114" s="29">
        <f t="shared" si="15"/>
        <v>90.858499999999978</v>
      </c>
      <c r="O114" s="29">
        <f t="shared" si="15"/>
        <v>0</v>
      </c>
      <c r="P114" s="29">
        <f t="shared" si="15"/>
        <v>0</v>
      </c>
      <c r="Q114" s="29">
        <f t="shared" si="15"/>
        <v>13.36</v>
      </c>
      <c r="R114" s="29">
        <f t="shared" si="15"/>
        <v>0</v>
      </c>
      <c r="S114" s="29">
        <f t="shared" si="15"/>
        <v>0</v>
      </c>
      <c r="T114" s="23"/>
      <c r="U114" s="24"/>
      <c r="V114" s="25"/>
      <c r="W114" s="1"/>
    </row>
    <row r="115" spans="1:23" ht="13.5" customHeight="1">
      <c r="A115" s="140" t="s">
        <v>66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2"/>
      <c r="V115" s="25"/>
      <c r="W115" s="1"/>
    </row>
    <row r="116" spans="1:23" ht="14.25" customHeight="1">
      <c r="A116" s="18" t="s">
        <v>66</v>
      </c>
      <c r="B116" s="18">
        <v>2</v>
      </c>
      <c r="C116" s="18">
        <v>26</v>
      </c>
      <c r="D116" s="18">
        <v>1.1000000000000001</v>
      </c>
      <c r="E116" s="18">
        <v>0.6</v>
      </c>
      <c r="F116" s="18" t="s">
        <v>33</v>
      </c>
      <c r="G116" s="18" t="s">
        <v>48</v>
      </c>
      <c r="H116" s="18" t="s">
        <v>43</v>
      </c>
      <c r="I116" s="19" t="s">
        <v>44</v>
      </c>
      <c r="J116" s="19" t="s">
        <v>45</v>
      </c>
      <c r="K116" s="18" t="s">
        <v>46</v>
      </c>
      <c r="L116" s="18" t="s">
        <v>47</v>
      </c>
      <c r="M116" s="21">
        <f>E116*7.64</f>
        <v>4.5839999999999996</v>
      </c>
      <c r="N116" s="21">
        <f t="shared" ref="N116:N121" si="16">E116*6.64</f>
        <v>3.9839999999999995</v>
      </c>
      <c r="O116" s="41"/>
      <c r="P116" s="41"/>
      <c r="Q116" s="41">
        <f>E116*1</f>
        <v>0.6</v>
      </c>
      <c r="R116" s="20"/>
      <c r="S116" s="20"/>
      <c r="T116" s="20"/>
      <c r="U116" s="20"/>
      <c r="V116" s="25"/>
      <c r="W116" s="1"/>
    </row>
    <row r="117" spans="1:23" ht="14.25" customHeight="1">
      <c r="A117" s="18" t="s">
        <v>66</v>
      </c>
      <c r="B117" s="18">
        <v>4</v>
      </c>
      <c r="C117" s="18">
        <v>45</v>
      </c>
      <c r="D117" s="18">
        <v>21.1</v>
      </c>
      <c r="E117" s="18">
        <v>0.9</v>
      </c>
      <c r="F117" s="18" t="s">
        <v>33</v>
      </c>
      <c r="G117" s="18" t="s">
        <v>42</v>
      </c>
      <c r="H117" s="18" t="s">
        <v>43</v>
      </c>
      <c r="I117" s="19" t="s">
        <v>44</v>
      </c>
      <c r="J117" s="19" t="s">
        <v>45</v>
      </c>
      <c r="K117" s="18" t="s">
        <v>46</v>
      </c>
      <c r="L117" s="18" t="s">
        <v>53</v>
      </c>
      <c r="M117" s="21">
        <f>E117*7.64</f>
        <v>6.8759999999999994</v>
      </c>
      <c r="N117" s="21">
        <f t="shared" si="16"/>
        <v>5.976</v>
      </c>
      <c r="O117" s="41"/>
      <c r="P117" s="41">
        <f>E117*1</f>
        <v>0.9</v>
      </c>
      <c r="Q117" s="41"/>
      <c r="R117" s="20"/>
      <c r="S117" s="20"/>
      <c r="T117" s="20"/>
      <c r="U117" s="20"/>
      <c r="V117" s="25"/>
      <c r="W117" s="1"/>
    </row>
    <row r="118" spans="1:23" ht="14.25" customHeight="1">
      <c r="A118" s="18" t="s">
        <v>66</v>
      </c>
      <c r="B118" s="18">
        <v>5</v>
      </c>
      <c r="C118" s="18">
        <v>45</v>
      </c>
      <c r="D118" s="18">
        <v>22.1</v>
      </c>
      <c r="E118" s="18">
        <v>0.9</v>
      </c>
      <c r="F118" s="18" t="s">
        <v>33</v>
      </c>
      <c r="G118" s="18" t="s">
        <v>42</v>
      </c>
      <c r="H118" s="18" t="s">
        <v>43</v>
      </c>
      <c r="I118" s="19" t="s">
        <v>44</v>
      </c>
      <c r="J118" s="19" t="s">
        <v>45</v>
      </c>
      <c r="K118" s="18" t="s">
        <v>46</v>
      </c>
      <c r="L118" s="18" t="s">
        <v>53</v>
      </c>
      <c r="M118" s="21">
        <f>E118*7.64</f>
        <v>6.8759999999999994</v>
      </c>
      <c r="N118" s="21">
        <f t="shared" si="16"/>
        <v>5.976</v>
      </c>
      <c r="O118" s="41"/>
      <c r="P118" s="41">
        <f>E118*1</f>
        <v>0.9</v>
      </c>
      <c r="Q118" s="41"/>
      <c r="R118" s="20"/>
      <c r="S118" s="20"/>
      <c r="T118" s="20"/>
      <c r="U118" s="20"/>
      <c r="V118" s="25"/>
      <c r="W118" s="1"/>
    </row>
    <row r="119" spans="1:23" ht="14.25" customHeight="1">
      <c r="A119" s="18" t="s">
        <v>66</v>
      </c>
      <c r="B119" s="18">
        <v>6</v>
      </c>
      <c r="C119" s="18">
        <v>50</v>
      </c>
      <c r="D119" s="18">
        <v>14</v>
      </c>
      <c r="E119" s="18">
        <v>0.6</v>
      </c>
      <c r="F119" s="18" t="s">
        <v>33</v>
      </c>
      <c r="G119" s="18" t="s">
        <v>42</v>
      </c>
      <c r="H119" s="18" t="s">
        <v>43</v>
      </c>
      <c r="I119" s="19" t="s">
        <v>44</v>
      </c>
      <c r="J119" s="19" t="s">
        <v>45</v>
      </c>
      <c r="K119" s="18" t="s">
        <v>46</v>
      </c>
      <c r="L119" s="18" t="s">
        <v>53</v>
      </c>
      <c r="M119" s="21">
        <f>E119*7.64</f>
        <v>4.5839999999999996</v>
      </c>
      <c r="N119" s="21">
        <f t="shared" si="16"/>
        <v>3.9839999999999995</v>
      </c>
      <c r="O119" s="41"/>
      <c r="P119" s="41">
        <f>E119*1</f>
        <v>0.6</v>
      </c>
      <c r="Q119" s="41"/>
      <c r="R119" s="20"/>
      <c r="S119" s="20"/>
      <c r="T119" s="20"/>
      <c r="U119" s="20"/>
      <c r="V119" s="25"/>
      <c r="W119" s="1"/>
    </row>
    <row r="120" spans="1:23" ht="14.25" customHeight="1">
      <c r="A120" s="18" t="s">
        <v>66</v>
      </c>
      <c r="B120" s="18">
        <v>7</v>
      </c>
      <c r="C120" s="18">
        <v>50</v>
      </c>
      <c r="D120" s="18">
        <v>13</v>
      </c>
      <c r="E120" s="18">
        <v>1.7</v>
      </c>
      <c r="F120" s="18" t="s">
        <v>33</v>
      </c>
      <c r="G120" s="18" t="s">
        <v>48</v>
      </c>
      <c r="H120" s="18" t="s">
        <v>43</v>
      </c>
      <c r="I120" s="19" t="s">
        <v>44</v>
      </c>
      <c r="J120" s="19" t="s">
        <v>45</v>
      </c>
      <c r="K120" s="18" t="s">
        <v>46</v>
      </c>
      <c r="L120" s="18" t="s">
        <v>53</v>
      </c>
      <c r="M120" s="21">
        <f>E120*7.664</f>
        <v>13.028799999999999</v>
      </c>
      <c r="N120" s="21">
        <f t="shared" si="16"/>
        <v>11.287999999999998</v>
      </c>
      <c r="O120" s="41"/>
      <c r="P120" s="41">
        <f>E120*1</f>
        <v>1.7</v>
      </c>
      <c r="Q120" s="41"/>
      <c r="R120" s="20"/>
      <c r="S120" s="20"/>
      <c r="T120" s="20"/>
      <c r="U120" s="20"/>
      <c r="V120" s="25"/>
      <c r="W120" s="1"/>
    </row>
    <row r="121" spans="1:23" ht="14.25" customHeight="1">
      <c r="A121" s="18" t="s">
        <v>66</v>
      </c>
      <c r="B121" s="18">
        <v>8</v>
      </c>
      <c r="C121" s="18">
        <v>49</v>
      </c>
      <c r="D121" s="18">
        <v>3</v>
      </c>
      <c r="E121" s="18">
        <v>0.8</v>
      </c>
      <c r="F121" s="18" t="s">
        <v>33</v>
      </c>
      <c r="G121" s="18" t="s">
        <v>48</v>
      </c>
      <c r="H121" s="18" t="s">
        <v>43</v>
      </c>
      <c r="I121" s="19" t="s">
        <v>44</v>
      </c>
      <c r="J121" s="19" t="s">
        <v>45</v>
      </c>
      <c r="K121" s="18" t="s">
        <v>46</v>
      </c>
      <c r="L121" s="18" t="s">
        <v>47</v>
      </c>
      <c r="M121" s="21">
        <f>E121*7.664</f>
        <v>6.1311999999999998</v>
      </c>
      <c r="N121" s="21">
        <f t="shared" si="16"/>
        <v>5.3120000000000003</v>
      </c>
      <c r="O121" s="41"/>
      <c r="P121" s="41"/>
      <c r="Q121" s="41">
        <f>E121*1</f>
        <v>0.8</v>
      </c>
      <c r="R121" s="20"/>
      <c r="S121" s="20"/>
      <c r="T121" s="20"/>
      <c r="U121" s="20"/>
      <c r="V121" s="25"/>
      <c r="W121" s="1"/>
    </row>
    <row r="122" spans="1:23" ht="6" customHeight="1">
      <c r="A122" s="18"/>
      <c r="B122" s="18"/>
      <c r="C122" s="18"/>
      <c r="D122" s="18"/>
      <c r="E122" s="18"/>
      <c r="F122" s="18"/>
      <c r="G122" s="18"/>
      <c r="H122" s="18"/>
      <c r="I122" s="19"/>
      <c r="J122" s="19"/>
      <c r="K122" s="18"/>
      <c r="L122" s="18"/>
      <c r="M122" s="37"/>
      <c r="N122" s="37"/>
      <c r="O122" s="38"/>
      <c r="P122" s="38"/>
      <c r="Q122" s="42"/>
      <c r="R122" s="18"/>
      <c r="S122" s="18"/>
      <c r="T122" s="18"/>
      <c r="U122" s="18"/>
      <c r="V122" s="25"/>
      <c r="W122" s="1"/>
    </row>
    <row r="123" spans="1:23">
      <c r="A123" s="18"/>
      <c r="B123" s="18"/>
      <c r="C123" s="18"/>
      <c r="D123" s="18"/>
      <c r="E123" s="27">
        <f>SUM(E116:E122)</f>
        <v>5.5</v>
      </c>
      <c r="F123" s="27"/>
      <c r="G123" s="27"/>
      <c r="H123" s="27"/>
      <c r="I123" s="27"/>
      <c r="J123" s="27"/>
      <c r="K123" s="27"/>
      <c r="L123" s="27"/>
      <c r="M123" s="29">
        <f t="shared" ref="M123:T123" si="17">SUM(M116:M122)</f>
        <v>42.08</v>
      </c>
      <c r="N123" s="29">
        <f t="shared" si="17"/>
        <v>36.519999999999996</v>
      </c>
      <c r="O123" s="29">
        <f t="shared" si="17"/>
        <v>0</v>
      </c>
      <c r="P123" s="29">
        <f t="shared" si="17"/>
        <v>4.0999999999999996</v>
      </c>
      <c r="Q123" s="29">
        <f t="shared" si="17"/>
        <v>1.4</v>
      </c>
      <c r="R123" s="29">
        <f t="shared" si="17"/>
        <v>0</v>
      </c>
      <c r="S123" s="29">
        <f t="shared" si="17"/>
        <v>0</v>
      </c>
      <c r="T123" s="29">
        <f t="shared" si="17"/>
        <v>0</v>
      </c>
      <c r="U123" s="18"/>
      <c r="V123" s="25"/>
      <c r="W123" s="1"/>
    </row>
    <row r="124" spans="1:23" ht="13.5" customHeight="1">
      <c r="A124" s="140" t="s">
        <v>67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2"/>
      <c r="V124" s="16"/>
      <c r="W124" s="1"/>
    </row>
    <row r="125" spans="1:23" ht="14.25" customHeight="1">
      <c r="A125" s="43" t="s">
        <v>68</v>
      </c>
      <c r="B125" s="43">
        <v>1</v>
      </c>
      <c r="C125" s="43">
        <v>14</v>
      </c>
      <c r="D125" s="43">
        <v>8.1</v>
      </c>
      <c r="E125" s="43">
        <v>0.4</v>
      </c>
      <c r="F125" s="43" t="s">
        <v>33</v>
      </c>
      <c r="G125" s="43" t="s">
        <v>48</v>
      </c>
      <c r="H125" s="43" t="s">
        <v>43</v>
      </c>
      <c r="I125" s="19" t="s">
        <v>44</v>
      </c>
      <c r="J125" s="19" t="s">
        <v>45</v>
      </c>
      <c r="K125" s="44" t="s">
        <v>46</v>
      </c>
      <c r="L125" s="43" t="s">
        <v>53</v>
      </c>
      <c r="M125" s="45">
        <f>E125*7.64</f>
        <v>3.056</v>
      </c>
      <c r="N125" s="45">
        <f>E125*6.64</f>
        <v>2.6560000000000001</v>
      </c>
      <c r="O125" s="45"/>
      <c r="P125" s="45">
        <f>E125*1</f>
        <v>0.4</v>
      </c>
      <c r="Q125" s="45"/>
      <c r="R125" s="45"/>
      <c r="S125" s="45"/>
      <c r="T125" s="43"/>
      <c r="U125" s="43"/>
      <c r="V125" s="16"/>
      <c r="W125" s="1"/>
    </row>
    <row r="126" spans="1:23" ht="14.25" customHeight="1">
      <c r="A126" s="43" t="s">
        <v>68</v>
      </c>
      <c r="B126" s="43">
        <v>2</v>
      </c>
      <c r="C126" s="43">
        <v>14</v>
      </c>
      <c r="D126" s="43">
        <v>23.1</v>
      </c>
      <c r="E126" s="43">
        <v>0.8</v>
      </c>
      <c r="F126" s="43" t="s">
        <v>33</v>
      </c>
      <c r="G126" s="43" t="s">
        <v>48</v>
      </c>
      <c r="H126" s="43" t="s">
        <v>43</v>
      </c>
      <c r="I126" s="46" t="s">
        <v>44</v>
      </c>
      <c r="J126" s="43" t="s">
        <v>45</v>
      </c>
      <c r="K126" s="44" t="s">
        <v>46</v>
      </c>
      <c r="L126" s="43" t="s">
        <v>53</v>
      </c>
      <c r="M126" s="45">
        <f t="shared" ref="M126:M132" si="18">E126*7.64</f>
        <v>6.1120000000000001</v>
      </c>
      <c r="N126" s="45">
        <f t="shared" ref="N126:N132" si="19">E126*6.64</f>
        <v>5.3120000000000003</v>
      </c>
      <c r="O126" s="45"/>
      <c r="P126" s="45">
        <f t="shared" ref="P126:P132" si="20">E126*1</f>
        <v>0.8</v>
      </c>
      <c r="Q126" s="45"/>
      <c r="R126" s="45"/>
      <c r="S126" s="45"/>
      <c r="T126" s="43"/>
      <c r="U126" s="43"/>
      <c r="V126" s="16"/>
      <c r="W126" s="1"/>
    </row>
    <row r="127" spans="1:23" ht="14.25" customHeight="1">
      <c r="A127" s="43" t="s">
        <v>68</v>
      </c>
      <c r="B127" s="43">
        <v>3</v>
      </c>
      <c r="C127" s="43">
        <v>27</v>
      </c>
      <c r="D127" s="43">
        <v>12.1</v>
      </c>
      <c r="E127" s="43">
        <v>1.2</v>
      </c>
      <c r="F127" s="43" t="s">
        <v>33</v>
      </c>
      <c r="G127" s="43" t="s">
        <v>48</v>
      </c>
      <c r="H127" s="43" t="s">
        <v>43</v>
      </c>
      <c r="I127" s="19" t="s">
        <v>44</v>
      </c>
      <c r="J127" s="19" t="s">
        <v>45</v>
      </c>
      <c r="K127" s="44" t="s">
        <v>46</v>
      </c>
      <c r="L127" s="43" t="s">
        <v>53</v>
      </c>
      <c r="M127" s="45">
        <f t="shared" si="18"/>
        <v>9.1679999999999993</v>
      </c>
      <c r="N127" s="45">
        <f t="shared" si="19"/>
        <v>7.9679999999999991</v>
      </c>
      <c r="O127" s="45"/>
      <c r="P127" s="45">
        <f t="shared" si="20"/>
        <v>1.2</v>
      </c>
      <c r="Q127" s="45"/>
      <c r="R127" s="45"/>
      <c r="S127" s="45"/>
      <c r="T127" s="43"/>
      <c r="U127" s="43"/>
      <c r="V127" s="16"/>
      <c r="W127" s="1"/>
    </row>
    <row r="128" spans="1:23" ht="14.25" customHeight="1">
      <c r="A128" s="43" t="s">
        <v>68</v>
      </c>
      <c r="B128" s="43">
        <v>4</v>
      </c>
      <c r="C128" s="43">
        <v>27</v>
      </c>
      <c r="D128" s="43">
        <v>12.2</v>
      </c>
      <c r="E128" s="43">
        <v>1.8</v>
      </c>
      <c r="F128" s="43" t="s">
        <v>33</v>
      </c>
      <c r="G128" s="43" t="s">
        <v>48</v>
      </c>
      <c r="H128" s="43" t="s">
        <v>43</v>
      </c>
      <c r="I128" s="46" t="s">
        <v>44</v>
      </c>
      <c r="J128" s="43" t="s">
        <v>45</v>
      </c>
      <c r="K128" s="44" t="s">
        <v>46</v>
      </c>
      <c r="L128" s="43" t="s">
        <v>53</v>
      </c>
      <c r="M128" s="45">
        <f t="shared" si="18"/>
        <v>13.751999999999999</v>
      </c>
      <c r="N128" s="45">
        <f t="shared" si="19"/>
        <v>11.952</v>
      </c>
      <c r="O128" s="45"/>
      <c r="P128" s="45">
        <f t="shared" si="20"/>
        <v>1.8</v>
      </c>
      <c r="Q128" s="45"/>
      <c r="R128" s="45"/>
      <c r="S128" s="45"/>
      <c r="T128" s="43"/>
      <c r="U128" s="43"/>
      <c r="V128" s="16"/>
      <c r="W128" s="1"/>
    </row>
    <row r="129" spans="1:23" ht="14.25" customHeight="1">
      <c r="A129" s="43" t="s">
        <v>68</v>
      </c>
      <c r="B129" s="43">
        <v>5</v>
      </c>
      <c r="C129" s="43">
        <v>29</v>
      </c>
      <c r="D129" s="43">
        <v>2</v>
      </c>
      <c r="E129" s="43">
        <v>1.9</v>
      </c>
      <c r="F129" s="43" t="s">
        <v>33</v>
      </c>
      <c r="G129" s="43" t="s">
        <v>48</v>
      </c>
      <c r="H129" s="43" t="s">
        <v>43</v>
      </c>
      <c r="I129" s="19" t="s">
        <v>44</v>
      </c>
      <c r="J129" s="19" t="s">
        <v>45</v>
      </c>
      <c r="K129" s="44" t="s">
        <v>46</v>
      </c>
      <c r="L129" s="43" t="s">
        <v>53</v>
      </c>
      <c r="M129" s="45">
        <f t="shared" si="18"/>
        <v>14.515999999999998</v>
      </c>
      <c r="N129" s="45">
        <f t="shared" si="19"/>
        <v>12.616</v>
      </c>
      <c r="O129" s="45"/>
      <c r="P129" s="45">
        <f t="shared" si="20"/>
        <v>1.9</v>
      </c>
      <c r="Q129" s="45"/>
      <c r="R129" s="45"/>
      <c r="S129" s="45"/>
      <c r="T129" s="43"/>
      <c r="U129" s="43"/>
      <c r="V129" s="16"/>
      <c r="W129" s="1"/>
    </row>
    <row r="130" spans="1:23" ht="14.25" customHeight="1">
      <c r="A130" s="43" t="s">
        <v>68</v>
      </c>
      <c r="B130" s="43">
        <v>6</v>
      </c>
      <c r="C130" s="43">
        <v>45</v>
      </c>
      <c r="D130" s="43">
        <v>17.100000000000001</v>
      </c>
      <c r="E130" s="43">
        <v>1.4</v>
      </c>
      <c r="F130" s="43" t="s">
        <v>33</v>
      </c>
      <c r="G130" s="43" t="s">
        <v>42</v>
      </c>
      <c r="H130" s="43" t="s">
        <v>43</v>
      </c>
      <c r="I130" s="46" t="s">
        <v>44</v>
      </c>
      <c r="J130" s="43" t="s">
        <v>45</v>
      </c>
      <c r="K130" s="44" t="s">
        <v>46</v>
      </c>
      <c r="L130" s="43" t="s">
        <v>53</v>
      </c>
      <c r="M130" s="45">
        <f t="shared" si="18"/>
        <v>10.696</v>
      </c>
      <c r="N130" s="45">
        <f t="shared" si="19"/>
        <v>9.2959999999999994</v>
      </c>
      <c r="O130" s="45"/>
      <c r="P130" s="45">
        <f t="shared" si="20"/>
        <v>1.4</v>
      </c>
      <c r="Q130" s="45"/>
      <c r="R130" s="45"/>
      <c r="S130" s="45"/>
      <c r="T130" s="43"/>
      <c r="U130" s="43"/>
      <c r="V130" s="16"/>
      <c r="W130" s="1"/>
    </row>
    <row r="131" spans="1:23" ht="14.25" customHeight="1">
      <c r="A131" s="43" t="s">
        <v>68</v>
      </c>
      <c r="B131" s="43">
        <v>7</v>
      </c>
      <c r="C131" s="43">
        <v>61</v>
      </c>
      <c r="D131" s="43">
        <v>16.100000000000001</v>
      </c>
      <c r="E131" s="43">
        <v>0.8</v>
      </c>
      <c r="F131" s="43" t="s">
        <v>33</v>
      </c>
      <c r="G131" s="43" t="s">
        <v>48</v>
      </c>
      <c r="H131" s="43" t="s">
        <v>43</v>
      </c>
      <c r="I131" s="19" t="s">
        <v>44</v>
      </c>
      <c r="J131" s="19" t="s">
        <v>45</v>
      </c>
      <c r="K131" s="44" t="s">
        <v>46</v>
      </c>
      <c r="L131" s="43" t="s">
        <v>53</v>
      </c>
      <c r="M131" s="45">
        <f t="shared" si="18"/>
        <v>6.1120000000000001</v>
      </c>
      <c r="N131" s="45">
        <f t="shared" si="19"/>
        <v>5.3120000000000003</v>
      </c>
      <c r="O131" s="45"/>
      <c r="P131" s="45">
        <f t="shared" si="20"/>
        <v>0.8</v>
      </c>
      <c r="Q131" s="45"/>
      <c r="R131" s="45"/>
      <c r="S131" s="45"/>
      <c r="T131" s="43"/>
      <c r="U131" s="43"/>
      <c r="V131" s="16"/>
      <c r="W131" s="1"/>
    </row>
    <row r="132" spans="1:23" ht="14.25" customHeight="1">
      <c r="A132" s="43" t="s">
        <v>68</v>
      </c>
      <c r="B132" s="43">
        <v>8</v>
      </c>
      <c r="C132" s="43">
        <v>61</v>
      </c>
      <c r="D132" s="43">
        <v>16.2</v>
      </c>
      <c r="E132" s="43">
        <v>1.5</v>
      </c>
      <c r="F132" s="43" t="s">
        <v>33</v>
      </c>
      <c r="G132" s="43" t="s">
        <v>48</v>
      </c>
      <c r="H132" s="43" t="s">
        <v>43</v>
      </c>
      <c r="I132" s="46" t="s">
        <v>44</v>
      </c>
      <c r="J132" s="43" t="s">
        <v>45</v>
      </c>
      <c r="K132" s="44" t="s">
        <v>46</v>
      </c>
      <c r="L132" s="43" t="s">
        <v>53</v>
      </c>
      <c r="M132" s="45">
        <f t="shared" si="18"/>
        <v>11.459999999999999</v>
      </c>
      <c r="N132" s="45">
        <f t="shared" si="19"/>
        <v>9.9599999999999991</v>
      </c>
      <c r="O132" s="45"/>
      <c r="P132" s="45">
        <f t="shared" si="20"/>
        <v>1.5</v>
      </c>
      <c r="Q132" s="45"/>
      <c r="R132" s="45"/>
      <c r="S132" s="45"/>
      <c r="T132" s="43"/>
      <c r="U132" s="43"/>
      <c r="V132" s="16"/>
      <c r="W132" s="1"/>
    </row>
    <row r="133" spans="1:23" ht="6" customHeight="1">
      <c r="A133" s="17"/>
      <c r="B133" s="18"/>
      <c r="C133" s="18"/>
      <c r="D133" s="18"/>
      <c r="E133" s="18"/>
      <c r="F133" s="18"/>
      <c r="G133" s="43"/>
      <c r="H133" s="18"/>
      <c r="I133" s="19"/>
      <c r="J133" s="19"/>
      <c r="K133" s="48"/>
      <c r="L133" s="18"/>
      <c r="M133" s="21"/>
      <c r="N133" s="21"/>
      <c r="O133" s="21"/>
      <c r="P133" s="21"/>
      <c r="Q133" s="21"/>
      <c r="R133" s="21"/>
      <c r="S133" s="49"/>
      <c r="T133" s="23"/>
      <c r="U133" s="24"/>
      <c r="V133" s="25"/>
      <c r="W133" s="1"/>
    </row>
    <row r="134" spans="1:23">
      <c r="A134" s="26"/>
      <c r="B134" s="27"/>
      <c r="C134" s="27"/>
      <c r="D134" s="27"/>
      <c r="E134" s="27">
        <f>SUM(E125:E133)</f>
        <v>9.8000000000000007</v>
      </c>
      <c r="F134" s="27"/>
      <c r="G134" s="27"/>
      <c r="H134" s="27"/>
      <c r="I134" s="27"/>
      <c r="J134" s="27"/>
      <c r="K134" s="27"/>
      <c r="L134" s="27"/>
      <c r="M134" s="29">
        <f t="shared" ref="M134:R134" si="21">SUM(M125:M133)</f>
        <v>74.871999999999986</v>
      </c>
      <c r="N134" s="29">
        <f t="shared" si="21"/>
        <v>65.071999999999989</v>
      </c>
      <c r="O134" s="29">
        <f t="shared" si="21"/>
        <v>0</v>
      </c>
      <c r="P134" s="29">
        <f t="shared" si="21"/>
        <v>9.8000000000000007</v>
      </c>
      <c r="Q134" s="29">
        <f t="shared" si="21"/>
        <v>0</v>
      </c>
      <c r="R134" s="29">
        <f t="shared" si="21"/>
        <v>0</v>
      </c>
      <c r="S134" s="29"/>
      <c r="T134" s="29">
        <f>SUM(T125:T133)</f>
        <v>0</v>
      </c>
      <c r="U134" s="24"/>
      <c r="V134" s="25"/>
      <c r="W134" s="1"/>
    </row>
    <row r="135" spans="1:23" ht="13.5" customHeight="1">
      <c r="A135" s="140" t="s">
        <v>69</v>
      </c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2"/>
      <c r="V135" s="16"/>
      <c r="W135" s="1"/>
    </row>
    <row r="136" spans="1:23" ht="14.25" customHeight="1">
      <c r="A136" s="17" t="s">
        <v>69</v>
      </c>
      <c r="B136" s="50">
        <v>1</v>
      </c>
      <c r="C136" s="51">
        <v>1</v>
      </c>
      <c r="D136" s="51">
        <v>3.1</v>
      </c>
      <c r="E136" s="51">
        <v>0.7</v>
      </c>
      <c r="F136" s="50" t="s">
        <v>33</v>
      </c>
      <c r="G136" s="51" t="s">
        <v>42</v>
      </c>
      <c r="H136" s="51" t="s">
        <v>43</v>
      </c>
      <c r="I136" s="52" t="s">
        <v>44</v>
      </c>
      <c r="J136" s="53" t="s">
        <v>45</v>
      </c>
      <c r="K136" s="51" t="s">
        <v>46</v>
      </c>
      <c r="L136" s="51" t="s">
        <v>53</v>
      </c>
      <c r="M136" s="54">
        <f t="shared" ref="M136:M151" si="22">E136*8.333</f>
        <v>5.8331</v>
      </c>
      <c r="N136" s="55">
        <f>E136*6.66</f>
        <v>4.6619999999999999</v>
      </c>
      <c r="O136" s="18"/>
      <c r="P136" s="18">
        <f>E136*1.67</f>
        <v>1.1689999999999998</v>
      </c>
      <c r="Q136" s="18"/>
      <c r="R136" s="18"/>
      <c r="S136" s="23"/>
      <c r="T136" s="23"/>
      <c r="U136" s="24"/>
      <c r="V136" s="25"/>
      <c r="W136" s="1"/>
    </row>
    <row r="137" spans="1:23" ht="14.25" customHeight="1">
      <c r="A137" s="17" t="s">
        <v>69</v>
      </c>
      <c r="B137" s="50">
        <v>2</v>
      </c>
      <c r="C137" s="51">
        <v>3</v>
      </c>
      <c r="D137" s="51">
        <v>24</v>
      </c>
      <c r="E137" s="51">
        <v>0.4</v>
      </c>
      <c r="F137" s="50" t="s">
        <v>33</v>
      </c>
      <c r="G137" s="51" t="s">
        <v>42</v>
      </c>
      <c r="H137" s="51" t="s">
        <v>43</v>
      </c>
      <c r="I137" s="52" t="s">
        <v>44</v>
      </c>
      <c r="J137" s="53" t="s">
        <v>45</v>
      </c>
      <c r="K137" s="51" t="s">
        <v>46</v>
      </c>
      <c r="L137" s="51" t="s">
        <v>53</v>
      </c>
      <c r="M137" s="54">
        <f t="shared" si="22"/>
        <v>3.3332000000000002</v>
      </c>
      <c r="N137" s="55">
        <f t="shared" ref="N137:N151" si="23">E137*6.66</f>
        <v>2.6640000000000001</v>
      </c>
      <c r="O137" s="18"/>
      <c r="P137" s="18">
        <f t="shared" ref="P137:P151" si="24">E137*1.67</f>
        <v>0.66800000000000004</v>
      </c>
      <c r="Q137" s="18"/>
      <c r="R137" s="18"/>
      <c r="S137" s="23"/>
      <c r="T137" s="23"/>
      <c r="U137" s="24"/>
      <c r="V137" s="25"/>
      <c r="W137" s="1"/>
    </row>
    <row r="138" spans="1:23" ht="14.25" customHeight="1">
      <c r="A138" s="17" t="s">
        <v>69</v>
      </c>
      <c r="B138" s="51">
        <v>3</v>
      </c>
      <c r="C138" s="51">
        <v>3</v>
      </c>
      <c r="D138" s="51">
        <v>27.1</v>
      </c>
      <c r="E138" s="51">
        <v>1.7</v>
      </c>
      <c r="F138" s="50" t="s">
        <v>33</v>
      </c>
      <c r="G138" s="51" t="s">
        <v>48</v>
      </c>
      <c r="H138" s="51" t="s">
        <v>43</v>
      </c>
      <c r="I138" s="52" t="s">
        <v>44</v>
      </c>
      <c r="J138" s="53" t="s">
        <v>45</v>
      </c>
      <c r="K138" s="51" t="s">
        <v>46</v>
      </c>
      <c r="L138" s="51" t="s">
        <v>53</v>
      </c>
      <c r="M138" s="54">
        <f t="shared" si="22"/>
        <v>14.1661</v>
      </c>
      <c r="N138" s="55">
        <f t="shared" si="23"/>
        <v>11.321999999999999</v>
      </c>
      <c r="O138" s="18"/>
      <c r="P138" s="18">
        <f t="shared" si="24"/>
        <v>2.839</v>
      </c>
      <c r="Q138" s="18"/>
      <c r="R138" s="18"/>
      <c r="S138" s="23"/>
      <c r="T138" s="23"/>
      <c r="U138" s="24"/>
      <c r="V138" s="25"/>
      <c r="W138" s="1"/>
    </row>
    <row r="139" spans="1:23" ht="14.25" customHeight="1">
      <c r="A139" s="17" t="s">
        <v>69</v>
      </c>
      <c r="B139" s="50">
        <v>4</v>
      </c>
      <c r="C139" s="51">
        <v>10</v>
      </c>
      <c r="D139" s="51">
        <v>10.199999999999999</v>
      </c>
      <c r="E139" s="51">
        <v>0.6</v>
      </c>
      <c r="F139" s="50" t="s">
        <v>33</v>
      </c>
      <c r="G139" s="51" t="s">
        <v>48</v>
      </c>
      <c r="H139" s="51" t="s">
        <v>43</v>
      </c>
      <c r="I139" s="52" t="s">
        <v>44</v>
      </c>
      <c r="J139" s="53" t="s">
        <v>45</v>
      </c>
      <c r="K139" s="51" t="s">
        <v>46</v>
      </c>
      <c r="L139" s="51" t="s">
        <v>53</v>
      </c>
      <c r="M139" s="54">
        <f t="shared" si="22"/>
        <v>4.9997999999999996</v>
      </c>
      <c r="N139" s="55">
        <f t="shared" si="23"/>
        <v>3.996</v>
      </c>
      <c r="O139" s="18"/>
      <c r="P139" s="18">
        <f t="shared" si="24"/>
        <v>1.002</v>
      </c>
      <c r="Q139" s="18"/>
      <c r="R139" s="18"/>
      <c r="S139" s="23"/>
      <c r="T139" s="23"/>
      <c r="U139" s="24"/>
      <c r="V139" s="25"/>
      <c r="W139" s="1"/>
    </row>
    <row r="140" spans="1:23" ht="14.25" customHeight="1">
      <c r="A140" s="17" t="s">
        <v>69</v>
      </c>
      <c r="B140" s="50">
        <v>5</v>
      </c>
      <c r="C140" s="51">
        <v>11</v>
      </c>
      <c r="D140" s="51">
        <v>20.2</v>
      </c>
      <c r="E140" s="51">
        <v>1.5</v>
      </c>
      <c r="F140" s="50" t="s">
        <v>33</v>
      </c>
      <c r="G140" s="51" t="s">
        <v>48</v>
      </c>
      <c r="H140" s="51" t="s">
        <v>43</v>
      </c>
      <c r="I140" s="52" t="s">
        <v>44</v>
      </c>
      <c r="J140" s="53" t="s">
        <v>45</v>
      </c>
      <c r="K140" s="51" t="s">
        <v>46</v>
      </c>
      <c r="L140" s="51" t="s">
        <v>53</v>
      </c>
      <c r="M140" s="54">
        <f t="shared" si="22"/>
        <v>12.499500000000001</v>
      </c>
      <c r="N140" s="55">
        <f t="shared" si="23"/>
        <v>9.99</v>
      </c>
      <c r="O140" s="18"/>
      <c r="P140" s="18">
        <f t="shared" si="24"/>
        <v>2.5049999999999999</v>
      </c>
      <c r="Q140" s="18"/>
      <c r="R140" s="18"/>
      <c r="S140" s="23"/>
      <c r="T140" s="23"/>
      <c r="U140" s="24"/>
      <c r="V140" s="25"/>
      <c r="W140" s="1"/>
    </row>
    <row r="141" spans="1:23" ht="14.25" customHeight="1">
      <c r="A141" s="17" t="s">
        <v>69</v>
      </c>
      <c r="B141" s="51">
        <v>6</v>
      </c>
      <c r="C141" s="51">
        <v>23</v>
      </c>
      <c r="D141" s="51">
        <v>29.1</v>
      </c>
      <c r="E141" s="51">
        <v>0.6</v>
      </c>
      <c r="F141" s="50" t="s">
        <v>33</v>
      </c>
      <c r="G141" s="51" t="s">
        <v>42</v>
      </c>
      <c r="H141" s="51" t="s">
        <v>43</v>
      </c>
      <c r="I141" s="52" t="s">
        <v>44</v>
      </c>
      <c r="J141" s="53" t="s">
        <v>45</v>
      </c>
      <c r="K141" s="51" t="s">
        <v>46</v>
      </c>
      <c r="L141" s="51" t="s">
        <v>53</v>
      </c>
      <c r="M141" s="54">
        <f t="shared" si="22"/>
        <v>4.9997999999999996</v>
      </c>
      <c r="N141" s="55">
        <f t="shared" si="23"/>
        <v>3.996</v>
      </c>
      <c r="O141" s="18"/>
      <c r="P141" s="18">
        <f t="shared" si="24"/>
        <v>1.002</v>
      </c>
      <c r="Q141" s="18"/>
      <c r="R141" s="18"/>
      <c r="S141" s="23"/>
      <c r="T141" s="23"/>
      <c r="U141" s="24"/>
      <c r="V141" s="25"/>
      <c r="W141" s="1"/>
    </row>
    <row r="142" spans="1:23" ht="14.25" customHeight="1">
      <c r="A142" s="17" t="s">
        <v>69</v>
      </c>
      <c r="B142" s="50">
        <v>7</v>
      </c>
      <c r="C142" s="51">
        <v>25</v>
      </c>
      <c r="D142" s="51">
        <v>19</v>
      </c>
      <c r="E142" s="51">
        <v>0.3</v>
      </c>
      <c r="F142" s="50" t="s">
        <v>33</v>
      </c>
      <c r="G142" s="51" t="s">
        <v>64</v>
      </c>
      <c r="H142" s="51" t="s">
        <v>43</v>
      </c>
      <c r="I142" s="52" t="s">
        <v>44</v>
      </c>
      <c r="J142" s="53" t="s">
        <v>45</v>
      </c>
      <c r="K142" s="51" t="s">
        <v>46</v>
      </c>
      <c r="L142" s="51" t="s">
        <v>51</v>
      </c>
      <c r="M142" s="54">
        <f t="shared" si="22"/>
        <v>2.4998999999999998</v>
      </c>
      <c r="N142" s="55">
        <f t="shared" si="23"/>
        <v>1.998</v>
      </c>
      <c r="O142" s="18">
        <f>E142*1.67</f>
        <v>0.501</v>
      </c>
      <c r="P142" s="18"/>
      <c r="Q142" s="18"/>
      <c r="R142" s="18"/>
      <c r="S142" s="23"/>
      <c r="T142" s="23"/>
      <c r="U142" s="24"/>
      <c r="V142" s="25"/>
      <c r="W142" s="1"/>
    </row>
    <row r="143" spans="1:23" ht="14.25" customHeight="1">
      <c r="A143" s="17" t="s">
        <v>69</v>
      </c>
      <c r="B143" s="51">
        <v>8</v>
      </c>
      <c r="C143" s="51">
        <v>56</v>
      </c>
      <c r="D143" s="51">
        <v>14.1</v>
      </c>
      <c r="E143" s="51">
        <v>2.1</v>
      </c>
      <c r="F143" s="50" t="s">
        <v>33</v>
      </c>
      <c r="G143" s="51" t="s">
        <v>42</v>
      </c>
      <c r="H143" s="51" t="s">
        <v>43</v>
      </c>
      <c r="I143" s="52" t="s">
        <v>44</v>
      </c>
      <c r="J143" s="53" t="s">
        <v>45</v>
      </c>
      <c r="K143" s="51" t="s">
        <v>46</v>
      </c>
      <c r="L143" s="51" t="s">
        <v>53</v>
      </c>
      <c r="M143" s="54">
        <f t="shared" si="22"/>
        <v>17.499300000000002</v>
      </c>
      <c r="N143" s="55">
        <f t="shared" si="23"/>
        <v>13.986000000000001</v>
      </c>
      <c r="O143" s="18"/>
      <c r="P143" s="18">
        <f t="shared" si="24"/>
        <v>3.5070000000000001</v>
      </c>
      <c r="Q143" s="18"/>
      <c r="R143" s="18"/>
      <c r="S143" s="23"/>
      <c r="T143" s="23"/>
      <c r="U143" s="24"/>
      <c r="V143" s="25"/>
      <c r="W143" s="1"/>
    </row>
    <row r="144" spans="1:23" ht="14.25" customHeight="1">
      <c r="A144" s="17" t="s">
        <v>69</v>
      </c>
      <c r="B144" s="50">
        <v>9</v>
      </c>
      <c r="C144" s="51">
        <v>72</v>
      </c>
      <c r="D144" s="51">
        <v>20.100000000000001</v>
      </c>
      <c r="E144" s="51">
        <v>1.8</v>
      </c>
      <c r="F144" s="50" t="s">
        <v>33</v>
      </c>
      <c r="G144" s="51" t="s">
        <v>48</v>
      </c>
      <c r="H144" s="51" t="s">
        <v>43</v>
      </c>
      <c r="I144" s="52" t="s">
        <v>44</v>
      </c>
      <c r="J144" s="53" t="s">
        <v>45</v>
      </c>
      <c r="K144" s="51" t="s">
        <v>46</v>
      </c>
      <c r="L144" s="51" t="s">
        <v>53</v>
      </c>
      <c r="M144" s="54">
        <f t="shared" si="22"/>
        <v>14.999400000000001</v>
      </c>
      <c r="N144" s="55">
        <f t="shared" si="23"/>
        <v>11.988000000000001</v>
      </c>
      <c r="O144" s="18"/>
      <c r="P144" s="18">
        <f t="shared" si="24"/>
        <v>3.0059999999999998</v>
      </c>
      <c r="Q144" s="18"/>
      <c r="R144" s="18"/>
      <c r="S144" s="23"/>
      <c r="T144" s="23"/>
      <c r="U144" s="24"/>
      <c r="V144" s="25"/>
      <c r="W144" s="1"/>
    </row>
    <row r="145" spans="1:23" ht="14.25" customHeight="1">
      <c r="A145" s="17" t="s">
        <v>69</v>
      </c>
      <c r="B145" s="51">
        <v>10</v>
      </c>
      <c r="C145" s="51">
        <v>73</v>
      </c>
      <c r="D145" s="51">
        <v>23</v>
      </c>
      <c r="E145" s="51">
        <v>0.8</v>
      </c>
      <c r="F145" s="50" t="s">
        <v>33</v>
      </c>
      <c r="G145" s="51" t="s">
        <v>48</v>
      </c>
      <c r="H145" s="51" t="s">
        <v>43</v>
      </c>
      <c r="I145" s="52" t="s">
        <v>44</v>
      </c>
      <c r="J145" s="53" t="s">
        <v>45</v>
      </c>
      <c r="K145" s="51" t="s">
        <v>46</v>
      </c>
      <c r="L145" s="51" t="s">
        <v>53</v>
      </c>
      <c r="M145" s="54">
        <f t="shared" si="22"/>
        <v>6.6664000000000003</v>
      </c>
      <c r="N145" s="55">
        <f t="shared" si="23"/>
        <v>5.3280000000000003</v>
      </c>
      <c r="O145" s="18"/>
      <c r="P145" s="18">
        <f t="shared" si="24"/>
        <v>1.3360000000000001</v>
      </c>
      <c r="Q145" s="18"/>
      <c r="R145" s="18"/>
      <c r="S145" s="23"/>
      <c r="T145" s="23"/>
      <c r="U145" s="24"/>
      <c r="V145" s="25"/>
      <c r="W145" s="1"/>
    </row>
    <row r="146" spans="1:23" ht="14.25" customHeight="1">
      <c r="A146" s="17" t="s">
        <v>69</v>
      </c>
      <c r="B146" s="50">
        <v>11</v>
      </c>
      <c r="C146" s="51">
        <v>92</v>
      </c>
      <c r="D146" s="51">
        <v>17.100000000000001</v>
      </c>
      <c r="E146" s="51">
        <v>2</v>
      </c>
      <c r="F146" s="50" t="s">
        <v>33</v>
      </c>
      <c r="G146" s="51" t="s">
        <v>48</v>
      </c>
      <c r="H146" s="51" t="s">
        <v>43</v>
      </c>
      <c r="I146" s="52" t="s">
        <v>44</v>
      </c>
      <c r="J146" s="53" t="s">
        <v>45</v>
      </c>
      <c r="K146" s="51" t="s">
        <v>46</v>
      </c>
      <c r="L146" s="51" t="s">
        <v>53</v>
      </c>
      <c r="M146" s="54">
        <f t="shared" si="22"/>
        <v>16.666</v>
      </c>
      <c r="N146" s="55">
        <f t="shared" si="23"/>
        <v>13.32</v>
      </c>
      <c r="O146" s="18"/>
      <c r="P146" s="18">
        <f t="shared" si="24"/>
        <v>3.34</v>
      </c>
      <c r="Q146" s="18"/>
      <c r="R146" s="18"/>
      <c r="S146" s="23"/>
      <c r="T146" s="23"/>
      <c r="U146" s="24"/>
      <c r="V146" s="25"/>
      <c r="W146" s="1"/>
    </row>
    <row r="147" spans="1:23" ht="14.25" customHeight="1">
      <c r="A147" s="17" t="s">
        <v>69</v>
      </c>
      <c r="B147" s="51">
        <v>12</v>
      </c>
      <c r="C147" s="51">
        <v>97</v>
      </c>
      <c r="D147" s="51">
        <v>6.1</v>
      </c>
      <c r="E147" s="51">
        <v>2.5</v>
      </c>
      <c r="F147" s="50" t="s">
        <v>33</v>
      </c>
      <c r="G147" s="51" t="s">
        <v>48</v>
      </c>
      <c r="H147" s="51" t="s">
        <v>43</v>
      </c>
      <c r="I147" s="52" t="s">
        <v>44</v>
      </c>
      <c r="J147" s="53" t="s">
        <v>45</v>
      </c>
      <c r="K147" s="51" t="s">
        <v>46</v>
      </c>
      <c r="L147" s="51" t="s">
        <v>53</v>
      </c>
      <c r="M147" s="54">
        <f t="shared" si="22"/>
        <v>20.8325</v>
      </c>
      <c r="N147" s="55">
        <f t="shared" si="23"/>
        <v>16.649999999999999</v>
      </c>
      <c r="O147" s="18"/>
      <c r="P147" s="18">
        <f t="shared" si="24"/>
        <v>4.1749999999999998</v>
      </c>
      <c r="Q147" s="18"/>
      <c r="R147" s="18"/>
      <c r="S147" s="23"/>
      <c r="T147" s="23"/>
      <c r="U147" s="24"/>
      <c r="V147" s="25"/>
      <c r="W147" s="1"/>
    </row>
    <row r="148" spans="1:23" ht="14.25" customHeight="1">
      <c r="A148" s="17" t="s">
        <v>69</v>
      </c>
      <c r="B148" s="50">
        <v>13</v>
      </c>
      <c r="C148" s="51">
        <v>99</v>
      </c>
      <c r="D148" s="51">
        <v>7.1</v>
      </c>
      <c r="E148" s="51">
        <v>0.8</v>
      </c>
      <c r="F148" s="50" t="s">
        <v>33</v>
      </c>
      <c r="G148" s="51" t="s">
        <v>48</v>
      </c>
      <c r="H148" s="51" t="s">
        <v>43</v>
      </c>
      <c r="I148" s="52" t="s">
        <v>44</v>
      </c>
      <c r="J148" s="53" t="s">
        <v>45</v>
      </c>
      <c r="K148" s="51" t="s">
        <v>46</v>
      </c>
      <c r="L148" s="51" t="s">
        <v>53</v>
      </c>
      <c r="M148" s="54">
        <f t="shared" si="22"/>
        <v>6.6664000000000003</v>
      </c>
      <c r="N148" s="55">
        <f t="shared" si="23"/>
        <v>5.3280000000000003</v>
      </c>
      <c r="O148" s="18"/>
      <c r="P148" s="18">
        <f t="shared" si="24"/>
        <v>1.3360000000000001</v>
      </c>
      <c r="Q148" s="18"/>
      <c r="R148" s="18"/>
      <c r="S148" s="23"/>
      <c r="T148" s="23"/>
      <c r="U148" s="24"/>
      <c r="V148" s="25"/>
      <c r="W148" s="1"/>
    </row>
    <row r="149" spans="1:23" ht="14.25" customHeight="1">
      <c r="A149" s="17" t="s">
        <v>69</v>
      </c>
      <c r="B149" s="51">
        <v>14</v>
      </c>
      <c r="C149" s="51">
        <v>119</v>
      </c>
      <c r="D149" s="51">
        <v>1.1000000000000001</v>
      </c>
      <c r="E149" s="51">
        <v>1.6</v>
      </c>
      <c r="F149" s="50" t="s">
        <v>33</v>
      </c>
      <c r="G149" s="51" t="s">
        <v>48</v>
      </c>
      <c r="H149" s="51" t="s">
        <v>43</v>
      </c>
      <c r="I149" s="52" t="s">
        <v>44</v>
      </c>
      <c r="J149" s="53" t="s">
        <v>45</v>
      </c>
      <c r="K149" s="51" t="s">
        <v>46</v>
      </c>
      <c r="L149" s="51" t="s">
        <v>53</v>
      </c>
      <c r="M149" s="54">
        <f t="shared" si="22"/>
        <v>13.332800000000001</v>
      </c>
      <c r="N149" s="55">
        <f t="shared" si="23"/>
        <v>10.656000000000001</v>
      </c>
      <c r="O149" s="18"/>
      <c r="P149" s="18">
        <f t="shared" si="24"/>
        <v>2.6720000000000002</v>
      </c>
      <c r="Q149" s="18"/>
      <c r="R149" s="18"/>
      <c r="S149" s="23"/>
      <c r="T149" s="23"/>
      <c r="U149" s="24"/>
      <c r="V149" s="25"/>
      <c r="W149" s="1"/>
    </row>
    <row r="150" spans="1:23" ht="14.25" customHeight="1">
      <c r="A150" s="17" t="s">
        <v>69</v>
      </c>
      <c r="B150" s="50">
        <v>15</v>
      </c>
      <c r="C150" s="51">
        <v>126</v>
      </c>
      <c r="D150" s="51">
        <v>22.1</v>
      </c>
      <c r="E150" s="51">
        <v>2.2000000000000002</v>
      </c>
      <c r="F150" s="50" t="s">
        <v>33</v>
      </c>
      <c r="G150" s="51" t="s">
        <v>48</v>
      </c>
      <c r="H150" s="51" t="s">
        <v>43</v>
      </c>
      <c r="I150" s="52" t="s">
        <v>44</v>
      </c>
      <c r="J150" s="53" t="s">
        <v>45</v>
      </c>
      <c r="K150" s="51" t="s">
        <v>46</v>
      </c>
      <c r="L150" s="51" t="s">
        <v>70</v>
      </c>
      <c r="M150" s="54">
        <f t="shared" si="22"/>
        <v>18.332600000000003</v>
      </c>
      <c r="N150" s="55">
        <f t="shared" si="23"/>
        <v>14.652000000000001</v>
      </c>
      <c r="O150" s="18"/>
      <c r="P150" s="18">
        <f t="shared" si="24"/>
        <v>3.6739999999999999</v>
      </c>
      <c r="Q150" s="18"/>
      <c r="R150" s="18"/>
      <c r="S150" s="23"/>
      <c r="T150" s="23"/>
      <c r="U150" s="24"/>
      <c r="V150" s="25"/>
      <c r="W150" s="1"/>
    </row>
    <row r="151" spans="1:23" ht="14.25" customHeight="1">
      <c r="A151" s="17" t="s">
        <v>69</v>
      </c>
      <c r="B151" s="51">
        <v>16</v>
      </c>
      <c r="C151" s="51">
        <v>128</v>
      </c>
      <c r="D151" s="51">
        <v>16.100000000000001</v>
      </c>
      <c r="E151" s="51">
        <v>0.5</v>
      </c>
      <c r="F151" s="50" t="s">
        <v>33</v>
      </c>
      <c r="G151" s="51" t="s">
        <v>48</v>
      </c>
      <c r="H151" s="51" t="s">
        <v>43</v>
      </c>
      <c r="I151" s="52" t="s">
        <v>44</v>
      </c>
      <c r="J151" s="53" t="s">
        <v>45</v>
      </c>
      <c r="K151" s="51" t="s">
        <v>46</v>
      </c>
      <c r="L151" s="51" t="s">
        <v>53</v>
      </c>
      <c r="M151" s="54">
        <f t="shared" si="22"/>
        <v>4.1665000000000001</v>
      </c>
      <c r="N151" s="55">
        <f t="shared" si="23"/>
        <v>3.33</v>
      </c>
      <c r="O151" s="18"/>
      <c r="P151" s="18">
        <f t="shared" si="24"/>
        <v>0.83499999999999996</v>
      </c>
      <c r="Q151" s="18"/>
      <c r="R151" s="18"/>
      <c r="S151" s="23"/>
      <c r="T151" s="23"/>
      <c r="U151" s="24"/>
      <c r="V151" s="25"/>
      <c r="W151" s="1"/>
    </row>
    <row r="152" spans="1:23" ht="6" customHeight="1">
      <c r="A152" s="17"/>
      <c r="B152" s="51"/>
      <c r="C152" s="51"/>
      <c r="D152" s="51"/>
      <c r="E152" s="51"/>
      <c r="F152" s="50"/>
      <c r="G152" s="51"/>
      <c r="H152" s="51"/>
      <c r="I152" s="52"/>
      <c r="J152" s="53"/>
      <c r="K152" s="51"/>
      <c r="L152" s="51"/>
      <c r="M152" s="54"/>
      <c r="N152" s="55"/>
      <c r="O152" s="18"/>
      <c r="P152" s="18"/>
      <c r="Q152" s="18"/>
      <c r="R152" s="18"/>
      <c r="S152" s="23"/>
      <c r="T152" s="23"/>
      <c r="U152" s="24"/>
      <c r="V152" s="25"/>
      <c r="W152" s="1"/>
    </row>
    <row r="153" spans="1:23">
      <c r="A153" s="17"/>
      <c r="B153" s="18"/>
      <c r="C153" s="18"/>
      <c r="D153" s="18"/>
      <c r="E153" s="40">
        <f>SUM(E136:E152)</f>
        <v>20.100000000000001</v>
      </c>
      <c r="F153" s="27"/>
      <c r="G153" s="27"/>
      <c r="H153" s="27"/>
      <c r="I153" s="27"/>
      <c r="J153" s="27"/>
      <c r="K153" s="27"/>
      <c r="L153" s="27"/>
      <c r="M153" s="29">
        <f t="shared" ref="M153:R153" si="25">SUM(M136:M152)</f>
        <v>167.4933</v>
      </c>
      <c r="N153" s="29">
        <f t="shared" si="25"/>
        <v>133.86600000000001</v>
      </c>
      <c r="O153" s="39">
        <f t="shared" si="25"/>
        <v>0.501</v>
      </c>
      <c r="P153" s="29">
        <f t="shared" si="25"/>
        <v>33.066000000000003</v>
      </c>
      <c r="Q153" s="29">
        <f t="shared" si="25"/>
        <v>0</v>
      </c>
      <c r="R153" s="29">
        <f t="shared" si="25"/>
        <v>0</v>
      </c>
      <c r="S153" s="29"/>
      <c r="T153" s="29">
        <f>SUM(T136:T152)</f>
        <v>0</v>
      </c>
      <c r="U153" s="24"/>
      <c r="V153" s="25"/>
      <c r="W153" s="1"/>
    </row>
    <row r="154" spans="1:23" ht="9.75" customHeight="1" thickBot="1">
      <c r="A154" s="56"/>
      <c r="B154" s="57"/>
      <c r="C154" s="57"/>
      <c r="D154" s="57"/>
      <c r="E154" s="57"/>
      <c r="F154" s="57"/>
      <c r="G154" s="57"/>
      <c r="H154" s="57"/>
      <c r="I154" s="58"/>
      <c r="J154" s="58"/>
      <c r="K154" s="57"/>
      <c r="L154" s="57"/>
      <c r="M154" s="57"/>
      <c r="N154" s="57"/>
      <c r="O154" s="59"/>
      <c r="P154" s="59"/>
      <c r="Q154" s="59"/>
      <c r="R154" s="59"/>
      <c r="S154" s="60"/>
      <c r="T154" s="60"/>
      <c r="U154" s="61"/>
      <c r="V154" s="8"/>
      <c r="W154" s="1"/>
    </row>
    <row r="155" spans="1:23" ht="15.75" thickBot="1">
      <c r="A155" s="62" t="s">
        <v>71</v>
      </c>
      <c r="B155" s="63"/>
      <c r="C155" s="63"/>
      <c r="D155" s="63"/>
      <c r="E155" s="64">
        <f>E31+E55+E86+E98+E114+E123+E134+E153</f>
        <v>135.5</v>
      </c>
      <c r="F155" s="64"/>
      <c r="G155" s="64"/>
      <c r="H155" s="64"/>
      <c r="I155" s="64"/>
      <c r="J155" s="64"/>
      <c r="K155" s="64"/>
      <c r="L155" s="64"/>
      <c r="M155" s="64">
        <f>M31+M55+M86+M98+M114+M123+M134+M153+2</f>
        <v>1108.3567</v>
      </c>
      <c r="N155" s="64">
        <f t="shared" ref="N155:T155" si="26">N31+N55+N86+N98+N114+N123+N134+N153</f>
        <v>872.61699999999996</v>
      </c>
      <c r="O155" s="64">
        <f t="shared" si="26"/>
        <v>56.327899999999993</v>
      </c>
      <c r="P155" s="64">
        <f t="shared" si="26"/>
        <v>157.26729999999998</v>
      </c>
      <c r="Q155" s="64">
        <f t="shared" si="26"/>
        <v>14.76</v>
      </c>
      <c r="R155" s="64">
        <f t="shared" si="26"/>
        <v>7.2002000000000006</v>
      </c>
      <c r="S155" s="64">
        <f t="shared" si="26"/>
        <v>0</v>
      </c>
      <c r="T155" s="64">
        <f t="shared" si="26"/>
        <v>0</v>
      </c>
      <c r="U155" s="65"/>
      <c r="V155" s="8"/>
      <c r="W155" s="1"/>
    </row>
    <row r="156" spans="1:23" ht="15.75" thickBot="1">
      <c r="A156" s="143" t="s">
        <v>72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5"/>
      <c r="V156" s="15"/>
      <c r="W156" s="1"/>
    </row>
    <row r="157" spans="1:23">
      <c r="A157" s="66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7"/>
      <c r="T157" s="47"/>
      <c r="U157" s="67"/>
      <c r="V157" s="8"/>
      <c r="W157" s="1"/>
    </row>
    <row r="158" spans="1:23" ht="15.75" thickBot="1">
      <c r="A158" s="68" t="s">
        <v>71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70"/>
      <c r="T158" s="70"/>
      <c r="U158" s="71"/>
      <c r="V158" s="8"/>
      <c r="W158" s="1"/>
    </row>
    <row r="159" spans="1:23" ht="15.75" thickBot="1">
      <c r="A159" s="143" t="s">
        <v>73</v>
      </c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5"/>
      <c r="V159" s="15"/>
      <c r="W159" s="1"/>
    </row>
    <row r="160" spans="1:23" ht="13.5" customHeight="1">
      <c r="A160" s="18" t="s">
        <v>50</v>
      </c>
      <c r="B160" s="18">
        <v>14</v>
      </c>
      <c r="C160" s="18">
        <v>107</v>
      </c>
      <c r="D160" s="18">
        <v>16.100000000000001</v>
      </c>
      <c r="E160" s="18">
        <v>2.5</v>
      </c>
      <c r="F160" s="19" t="s">
        <v>173</v>
      </c>
      <c r="G160" s="18" t="s">
        <v>49</v>
      </c>
      <c r="H160" s="18" t="s">
        <v>43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5"/>
      <c r="W160" s="8"/>
    </row>
    <row r="161" spans="1:23" ht="13.5" customHeight="1">
      <c r="A161" s="18"/>
      <c r="B161" s="18">
        <v>15</v>
      </c>
      <c r="C161" s="18">
        <v>37</v>
      </c>
      <c r="D161" s="18">
        <v>3</v>
      </c>
      <c r="E161" s="18">
        <v>2.5</v>
      </c>
      <c r="F161" s="19" t="s">
        <v>174</v>
      </c>
      <c r="G161" s="18" t="s">
        <v>49</v>
      </c>
      <c r="H161" s="18" t="s">
        <v>43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5"/>
      <c r="W161" s="8"/>
    </row>
    <row r="162" spans="1:23" ht="13.5" customHeight="1">
      <c r="A162" s="18"/>
      <c r="B162" s="18">
        <v>16</v>
      </c>
      <c r="C162" s="18">
        <v>112</v>
      </c>
      <c r="D162" s="18">
        <v>2.1</v>
      </c>
      <c r="E162" s="18">
        <v>3.1</v>
      </c>
      <c r="F162" s="19" t="s">
        <v>175</v>
      </c>
      <c r="G162" s="18" t="s">
        <v>54</v>
      </c>
      <c r="H162" s="18" t="s">
        <v>43</v>
      </c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5"/>
      <c r="W162" s="8"/>
    </row>
    <row r="163" spans="1:23" ht="13.5" customHeight="1">
      <c r="A163" s="18"/>
      <c r="B163" s="18">
        <v>17</v>
      </c>
      <c r="C163" s="18">
        <v>8</v>
      </c>
      <c r="D163" s="18">
        <v>7.2</v>
      </c>
      <c r="E163" s="18">
        <v>4.5999999999999996</v>
      </c>
      <c r="F163" s="19" t="s">
        <v>175</v>
      </c>
      <c r="G163" s="18" t="s">
        <v>49</v>
      </c>
      <c r="H163" s="18" t="s">
        <v>43</v>
      </c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5"/>
      <c r="W163" s="8"/>
    </row>
    <row r="164" spans="1:23" ht="13.5" customHeight="1">
      <c r="A164" s="18"/>
      <c r="B164" s="18">
        <v>18</v>
      </c>
      <c r="C164" s="18">
        <v>70</v>
      </c>
      <c r="D164" s="18">
        <v>20</v>
      </c>
      <c r="E164" s="18">
        <v>4</v>
      </c>
      <c r="F164" s="19" t="s">
        <v>175</v>
      </c>
      <c r="G164" s="18" t="s">
        <v>54</v>
      </c>
      <c r="H164" s="18" t="s">
        <v>43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5"/>
      <c r="W164" s="8"/>
    </row>
    <row r="165" spans="1:23" ht="13.5" customHeight="1">
      <c r="A165" s="18"/>
      <c r="B165" s="18">
        <v>19</v>
      </c>
      <c r="C165" s="18">
        <v>19</v>
      </c>
      <c r="D165" s="18">
        <v>17.100000000000001</v>
      </c>
      <c r="E165" s="18">
        <v>4.7</v>
      </c>
      <c r="F165" s="19" t="s">
        <v>175</v>
      </c>
      <c r="G165" s="18" t="s">
        <v>54</v>
      </c>
      <c r="H165" s="18" t="s">
        <v>43</v>
      </c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5"/>
      <c r="W165" s="8"/>
    </row>
    <row r="166" spans="1:23" ht="13.5" customHeight="1">
      <c r="A166" s="18"/>
      <c r="B166" s="18">
        <v>20</v>
      </c>
      <c r="C166" s="18">
        <v>105</v>
      </c>
      <c r="D166" s="18">
        <v>7.1</v>
      </c>
      <c r="E166" s="18">
        <v>4.3</v>
      </c>
      <c r="F166" s="19" t="s">
        <v>175</v>
      </c>
      <c r="G166" s="18" t="s">
        <v>49</v>
      </c>
      <c r="H166" s="18" t="s">
        <v>43</v>
      </c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5"/>
      <c r="W166" s="8"/>
    </row>
    <row r="167" spans="1:23" ht="13.5" customHeight="1">
      <c r="A167" s="18"/>
      <c r="B167" s="18">
        <v>21</v>
      </c>
      <c r="C167" s="18">
        <v>9</v>
      </c>
      <c r="D167" s="18">
        <v>16.100000000000001</v>
      </c>
      <c r="E167" s="18">
        <v>4.4000000000000004</v>
      </c>
      <c r="F167" s="19" t="s">
        <v>176</v>
      </c>
      <c r="G167" s="18" t="s">
        <v>164</v>
      </c>
      <c r="H167" s="18" t="s">
        <v>43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5"/>
      <c r="W167" s="8"/>
    </row>
    <row r="168" spans="1:23" ht="13.5" customHeight="1">
      <c r="A168" s="18"/>
      <c r="B168" s="18">
        <v>22</v>
      </c>
      <c r="C168" s="18">
        <v>98</v>
      </c>
      <c r="D168" s="18">
        <v>8</v>
      </c>
      <c r="E168" s="18">
        <v>3.8</v>
      </c>
      <c r="F168" s="19" t="s">
        <v>174</v>
      </c>
      <c r="G168" s="18" t="s">
        <v>49</v>
      </c>
      <c r="H168" s="18" t="s">
        <v>43</v>
      </c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5"/>
      <c r="W168" s="8"/>
    </row>
    <row r="169" spans="1:23" ht="13.5" customHeight="1">
      <c r="A169" s="18"/>
      <c r="B169" s="18">
        <v>23</v>
      </c>
      <c r="C169" s="18">
        <v>71</v>
      </c>
      <c r="D169" s="18">
        <v>32.1</v>
      </c>
      <c r="E169" s="18">
        <v>4.9000000000000004</v>
      </c>
      <c r="F169" s="19" t="s">
        <v>175</v>
      </c>
      <c r="G169" s="18" t="s">
        <v>49</v>
      </c>
      <c r="H169" s="18" t="s">
        <v>43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5"/>
      <c r="W169" s="8"/>
    </row>
    <row r="170" spans="1:23" ht="13.5" customHeight="1">
      <c r="A170" s="18"/>
      <c r="B170" s="18">
        <v>24</v>
      </c>
      <c r="C170" s="18">
        <v>85</v>
      </c>
      <c r="D170" s="18">
        <v>2.1</v>
      </c>
      <c r="E170" s="18">
        <v>4.7</v>
      </c>
      <c r="F170" s="19" t="s">
        <v>175</v>
      </c>
      <c r="G170" s="18" t="s">
        <v>49</v>
      </c>
      <c r="H170" s="18" t="s">
        <v>43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5"/>
      <c r="W170" s="8"/>
    </row>
    <row r="171" spans="1:23" ht="13.5" customHeight="1">
      <c r="A171" s="18"/>
      <c r="B171" s="18">
        <v>25</v>
      </c>
      <c r="C171" s="18">
        <v>69</v>
      </c>
      <c r="D171" s="18">
        <v>23.1</v>
      </c>
      <c r="E171" s="18">
        <v>5</v>
      </c>
      <c r="F171" s="19" t="s">
        <v>176</v>
      </c>
      <c r="G171" s="18" t="s">
        <v>49</v>
      </c>
      <c r="H171" s="18" t="s">
        <v>43</v>
      </c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5"/>
      <c r="W171" s="8"/>
    </row>
    <row r="172" spans="1:23" ht="13.5" customHeight="1">
      <c r="A172" s="18"/>
      <c r="B172" s="18"/>
      <c r="C172" s="18"/>
      <c r="D172" s="18"/>
      <c r="E172" s="27">
        <f>SUM(E160:E171)</f>
        <v>48.5</v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5"/>
      <c r="W172" s="8"/>
    </row>
    <row r="173" spans="1:23" ht="9" customHeight="1">
      <c r="A173" s="18"/>
      <c r="B173" s="18"/>
      <c r="C173" s="18"/>
      <c r="D173" s="18"/>
      <c r="E173" s="27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5"/>
      <c r="W173" s="8"/>
    </row>
    <row r="174" spans="1:23" ht="13.5" customHeight="1">
      <c r="A174" s="18" t="s">
        <v>167</v>
      </c>
      <c r="B174" s="18">
        <v>10</v>
      </c>
      <c r="C174" s="18">
        <v>11</v>
      </c>
      <c r="D174" s="18">
        <v>17</v>
      </c>
      <c r="E174" s="18">
        <v>1.8</v>
      </c>
      <c r="F174" s="18" t="s">
        <v>35</v>
      </c>
      <c r="G174" s="18" t="s">
        <v>54</v>
      </c>
      <c r="H174" s="18" t="s">
        <v>43</v>
      </c>
      <c r="I174" s="19" t="s">
        <v>44</v>
      </c>
      <c r="J174" s="18"/>
      <c r="K174" s="18" t="s">
        <v>168</v>
      </c>
      <c r="L174" s="18"/>
      <c r="M174" s="18"/>
      <c r="N174" s="18"/>
      <c r="O174" s="18"/>
      <c r="P174" s="18"/>
      <c r="Q174" s="18"/>
      <c r="R174" s="18"/>
      <c r="S174" s="18"/>
      <c r="T174" s="18"/>
      <c r="U174" s="18" t="s">
        <v>169</v>
      </c>
      <c r="V174" s="15"/>
      <c r="W174" s="8"/>
    </row>
    <row r="175" spans="1:23" ht="13.5" customHeight="1">
      <c r="A175" s="18"/>
      <c r="B175" s="18">
        <v>11</v>
      </c>
      <c r="C175" s="18">
        <v>19</v>
      </c>
      <c r="D175" s="18">
        <v>9.1</v>
      </c>
      <c r="E175" s="18">
        <v>1.7</v>
      </c>
      <c r="F175" s="18" t="s">
        <v>35</v>
      </c>
      <c r="G175" s="18" t="s">
        <v>54</v>
      </c>
      <c r="H175" s="18" t="s">
        <v>43</v>
      </c>
      <c r="I175" s="19" t="s">
        <v>44</v>
      </c>
      <c r="J175" s="18"/>
      <c r="K175" s="18" t="s">
        <v>168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 t="s">
        <v>169</v>
      </c>
      <c r="V175" s="15"/>
      <c r="W175" s="8"/>
    </row>
    <row r="176" spans="1:23" ht="13.5" customHeight="1">
      <c r="A176" s="18"/>
      <c r="B176" s="18"/>
      <c r="C176" s="18"/>
      <c r="D176" s="18"/>
      <c r="E176" s="27">
        <f>SUM(E174:E175)</f>
        <v>3.5</v>
      </c>
      <c r="F176" s="18"/>
      <c r="G176" s="18"/>
      <c r="H176" s="18"/>
      <c r="I176" s="19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5"/>
      <c r="W176" s="8"/>
    </row>
    <row r="177" spans="1:23" ht="6.75" customHeight="1">
      <c r="A177" s="18"/>
      <c r="B177" s="18"/>
      <c r="C177" s="18"/>
      <c r="D177" s="18"/>
      <c r="E177" s="27"/>
      <c r="F177" s="18"/>
      <c r="G177" s="18"/>
      <c r="H177" s="18"/>
      <c r="I177" s="19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5"/>
      <c r="W177" s="8"/>
    </row>
    <row r="178" spans="1:23" ht="13.5" customHeight="1">
      <c r="A178" s="18" t="s">
        <v>65</v>
      </c>
      <c r="B178" s="18">
        <v>1</v>
      </c>
      <c r="C178" s="18">
        <v>29</v>
      </c>
      <c r="D178" s="18">
        <v>9.1</v>
      </c>
      <c r="E178" s="18">
        <v>0.4</v>
      </c>
      <c r="F178" s="18" t="s">
        <v>171</v>
      </c>
      <c r="G178" s="18" t="s">
        <v>164</v>
      </c>
      <c r="H178" s="18" t="s">
        <v>43</v>
      </c>
      <c r="I178" s="19" t="s">
        <v>44</v>
      </c>
      <c r="J178" s="18"/>
      <c r="K178" s="18" t="s">
        <v>178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 t="s">
        <v>169</v>
      </c>
      <c r="V178" s="15"/>
      <c r="W178" s="8"/>
    </row>
    <row r="179" spans="1:23" ht="13.5" customHeight="1">
      <c r="A179" s="18"/>
      <c r="B179" s="18">
        <v>2</v>
      </c>
      <c r="C179" s="18">
        <v>49</v>
      </c>
      <c r="D179" s="18">
        <v>9</v>
      </c>
      <c r="E179" s="18">
        <v>0.8</v>
      </c>
      <c r="F179" s="18" t="s">
        <v>172</v>
      </c>
      <c r="G179" s="18" t="s">
        <v>165</v>
      </c>
      <c r="H179" s="18" t="s">
        <v>43</v>
      </c>
      <c r="I179" s="19" t="s">
        <v>44</v>
      </c>
      <c r="J179" s="18"/>
      <c r="K179" s="18" t="s">
        <v>178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 t="s">
        <v>169</v>
      </c>
      <c r="V179" s="15"/>
      <c r="W179" s="8"/>
    </row>
    <row r="180" spans="1:23" ht="13.5" customHeight="1">
      <c r="A180" s="18"/>
      <c r="B180" s="18">
        <v>3</v>
      </c>
      <c r="C180" s="18">
        <v>43</v>
      </c>
      <c r="D180" s="18">
        <v>5</v>
      </c>
      <c r="E180" s="18">
        <v>0.5</v>
      </c>
      <c r="F180" s="18" t="s">
        <v>35</v>
      </c>
      <c r="G180" s="18" t="s">
        <v>64</v>
      </c>
      <c r="H180" s="18" t="s">
        <v>43</v>
      </c>
      <c r="I180" s="19" t="s">
        <v>44</v>
      </c>
      <c r="J180" s="18"/>
      <c r="K180" s="18" t="s">
        <v>178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 t="s">
        <v>169</v>
      </c>
      <c r="V180" s="15"/>
      <c r="W180" s="8"/>
    </row>
    <row r="181" spans="1:23" ht="13.5" customHeight="1">
      <c r="A181" s="18"/>
      <c r="B181" s="18"/>
      <c r="C181" s="18"/>
      <c r="D181" s="18"/>
      <c r="E181" s="27">
        <f>SUM(E178:E180)</f>
        <v>1.7000000000000002</v>
      </c>
      <c r="F181" s="18"/>
      <c r="G181" s="18"/>
      <c r="H181" s="18"/>
      <c r="I181" s="19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5"/>
      <c r="W181" s="8"/>
    </row>
    <row r="182" spans="1:23" ht="6.75" customHeight="1">
      <c r="A182" s="18"/>
      <c r="B182" s="18"/>
      <c r="C182" s="18"/>
      <c r="D182" s="18"/>
      <c r="E182" s="27"/>
      <c r="F182" s="18"/>
      <c r="G182" s="18"/>
      <c r="H182" s="18"/>
      <c r="I182" s="19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5"/>
      <c r="W182" s="8"/>
    </row>
    <row r="183" spans="1:23" ht="13.5" customHeight="1">
      <c r="A183" s="18" t="s">
        <v>66</v>
      </c>
      <c r="B183" s="18">
        <v>1</v>
      </c>
      <c r="C183" s="18">
        <v>62</v>
      </c>
      <c r="D183" s="18">
        <v>24</v>
      </c>
      <c r="E183" s="18">
        <v>1.9</v>
      </c>
      <c r="F183" s="18" t="s">
        <v>170</v>
      </c>
      <c r="G183" s="18" t="s">
        <v>164</v>
      </c>
      <c r="H183" s="18" t="s">
        <v>43</v>
      </c>
      <c r="I183" s="19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5"/>
      <c r="W183" s="8"/>
    </row>
    <row r="184" spans="1:23" ht="13.5" customHeight="1">
      <c r="A184" s="18"/>
      <c r="B184" s="18">
        <v>3</v>
      </c>
      <c r="C184" s="18">
        <v>49</v>
      </c>
      <c r="D184" s="18">
        <v>16</v>
      </c>
      <c r="E184" s="18">
        <v>0.8</v>
      </c>
      <c r="F184" s="18" t="s">
        <v>35</v>
      </c>
      <c r="G184" s="18" t="s">
        <v>48</v>
      </c>
      <c r="H184" s="18" t="s">
        <v>43</v>
      </c>
      <c r="I184" s="19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5"/>
      <c r="W184" s="8"/>
    </row>
    <row r="185" spans="1:23" ht="13.5" customHeight="1">
      <c r="A185" s="18"/>
      <c r="B185" s="18"/>
      <c r="C185" s="18"/>
      <c r="D185" s="18"/>
      <c r="E185" s="27">
        <f>SUM(E183:E184)</f>
        <v>2.7</v>
      </c>
      <c r="F185" s="18"/>
      <c r="G185" s="18"/>
      <c r="H185" s="18"/>
      <c r="I185" s="19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5"/>
      <c r="W185" s="8"/>
    </row>
    <row r="186" spans="1:23" ht="8.25" customHeight="1">
      <c r="A186" s="18"/>
      <c r="B186" s="18"/>
      <c r="C186" s="18"/>
      <c r="D186" s="18"/>
      <c r="E186" s="27"/>
      <c r="F186" s="18"/>
      <c r="G186" s="18"/>
      <c r="H186" s="18"/>
      <c r="I186" s="19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5"/>
      <c r="W186" s="8"/>
    </row>
    <row r="187" spans="1:23" ht="13.5" customHeight="1">
      <c r="A187" s="18" t="s">
        <v>68</v>
      </c>
      <c r="B187" s="18">
        <v>9</v>
      </c>
      <c r="C187" s="18">
        <v>12</v>
      </c>
      <c r="D187" s="18">
        <v>10</v>
      </c>
      <c r="E187" s="18">
        <v>4.9000000000000004</v>
      </c>
      <c r="F187" s="18" t="s">
        <v>170</v>
      </c>
      <c r="G187" s="18" t="s">
        <v>164</v>
      </c>
      <c r="H187" s="18" t="s">
        <v>43</v>
      </c>
      <c r="I187" s="19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5"/>
      <c r="W187" s="8"/>
    </row>
    <row r="188" spans="1:23" ht="13.5" customHeight="1">
      <c r="A188" s="18"/>
      <c r="B188" s="18">
        <v>10</v>
      </c>
      <c r="C188" s="18">
        <v>48</v>
      </c>
      <c r="D188" s="18">
        <v>4</v>
      </c>
      <c r="E188" s="18">
        <v>2.2999999999999998</v>
      </c>
      <c r="F188" s="18" t="s">
        <v>35</v>
      </c>
      <c r="G188" s="18" t="s">
        <v>54</v>
      </c>
      <c r="H188" s="18" t="s">
        <v>43</v>
      </c>
      <c r="I188" s="19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5"/>
      <c r="W188" s="8"/>
    </row>
    <row r="189" spans="1:23" ht="13.5" customHeight="1">
      <c r="A189" s="18"/>
      <c r="B189" s="18">
        <v>11</v>
      </c>
      <c r="C189" s="18">
        <v>55</v>
      </c>
      <c r="D189" s="18">
        <v>15</v>
      </c>
      <c r="E189" s="18">
        <v>2.5</v>
      </c>
      <c r="F189" s="18" t="s">
        <v>35</v>
      </c>
      <c r="G189" s="18" t="s">
        <v>54</v>
      </c>
      <c r="H189" s="18" t="s">
        <v>43</v>
      </c>
      <c r="I189" s="19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5"/>
      <c r="W189" s="8"/>
    </row>
    <row r="190" spans="1:23" ht="13.5" customHeight="1">
      <c r="A190" s="18"/>
      <c r="B190" s="18">
        <v>12</v>
      </c>
      <c r="C190" s="18">
        <v>60</v>
      </c>
      <c r="D190" s="18">
        <v>5.0999999999999996</v>
      </c>
      <c r="E190" s="18">
        <v>1.6</v>
      </c>
      <c r="F190" s="18" t="s">
        <v>35</v>
      </c>
      <c r="G190" s="18" t="s">
        <v>48</v>
      </c>
      <c r="H190" s="18" t="s">
        <v>43</v>
      </c>
      <c r="I190" s="19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5"/>
      <c r="W190" s="8"/>
    </row>
    <row r="191" spans="1:23" ht="13.5" customHeight="1">
      <c r="A191" s="18"/>
      <c r="B191" s="18"/>
      <c r="C191" s="18"/>
      <c r="D191" s="18"/>
      <c r="E191" s="27">
        <f>SUM(E187:E190)</f>
        <v>11.299999999999999</v>
      </c>
      <c r="F191" s="18"/>
      <c r="G191" s="18"/>
      <c r="H191" s="18"/>
      <c r="I191" s="19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5"/>
      <c r="W191" s="8"/>
    </row>
    <row r="192" spans="1:23" ht="8.25" customHeight="1" thickBot="1">
      <c r="A192" s="18"/>
      <c r="B192" s="18"/>
      <c r="C192" s="18"/>
      <c r="D192" s="18"/>
      <c r="E192" s="27"/>
      <c r="F192" s="18"/>
      <c r="G192" s="18"/>
      <c r="H192" s="18"/>
      <c r="I192" s="19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5"/>
      <c r="W192" s="8"/>
    </row>
    <row r="193" spans="1:23" ht="15.75" thickBot="1">
      <c r="A193" s="62" t="s">
        <v>71</v>
      </c>
      <c r="B193" s="72"/>
      <c r="C193" s="72"/>
      <c r="D193" s="72"/>
      <c r="E193" s="73">
        <f>E172+E176+E181+E185+E191</f>
        <v>67.7</v>
      </c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4"/>
      <c r="T193" s="74"/>
      <c r="U193" s="65"/>
      <c r="V193" s="8"/>
      <c r="W193" s="1"/>
    </row>
    <row r="194" spans="1:23" ht="15.75" thickBot="1">
      <c r="A194" s="75"/>
      <c r="B194" s="76"/>
      <c r="C194" s="76"/>
      <c r="D194" s="76"/>
      <c r="E194" s="77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8"/>
      <c r="T194" s="78"/>
      <c r="U194" s="79"/>
      <c r="V194" s="8"/>
      <c r="W194" s="1"/>
    </row>
    <row r="195" spans="1:23" ht="15.75" thickBot="1">
      <c r="A195" s="80" t="s">
        <v>74</v>
      </c>
      <c r="B195" s="81"/>
      <c r="C195" s="81"/>
      <c r="D195" s="81"/>
      <c r="E195" s="82">
        <f>E155+E193</f>
        <v>203.2</v>
      </c>
      <c r="F195" s="76"/>
      <c r="G195" s="76"/>
      <c r="H195" s="76"/>
      <c r="I195" s="76"/>
      <c r="J195" s="76"/>
      <c r="K195" s="76"/>
      <c r="L195" s="76"/>
      <c r="M195" s="83">
        <f t="shared" ref="M195:R195" si="27">M155</f>
        <v>1108.3567</v>
      </c>
      <c r="N195" s="83">
        <f t="shared" si="27"/>
        <v>872.61699999999996</v>
      </c>
      <c r="O195" s="83">
        <f t="shared" si="27"/>
        <v>56.327899999999993</v>
      </c>
      <c r="P195" s="83">
        <f t="shared" si="27"/>
        <v>157.26729999999998</v>
      </c>
      <c r="Q195" s="83">
        <f t="shared" si="27"/>
        <v>14.76</v>
      </c>
      <c r="R195" s="83">
        <f t="shared" si="27"/>
        <v>7.2002000000000006</v>
      </c>
      <c r="S195" s="84"/>
      <c r="T195" s="84"/>
      <c r="U195" s="79"/>
      <c r="V195" s="8"/>
      <c r="W195" s="1"/>
    </row>
    <row r="231" spans="23:36">
      <c r="W231" s="135" t="s">
        <v>75</v>
      </c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</row>
    <row r="232" spans="23:36">
      <c r="W232" s="136" t="s">
        <v>76</v>
      </c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</row>
    <row r="233" spans="23:36" ht="15.75" thickBot="1">
      <c r="W233" s="137" t="s">
        <v>77</v>
      </c>
      <c r="X233" s="137"/>
      <c r="Y233" s="137"/>
      <c r="Z233" s="137"/>
      <c r="AA233" s="137"/>
      <c r="AB233" s="137"/>
      <c r="AC233" s="1"/>
      <c r="AD233" s="138" t="s">
        <v>78</v>
      </c>
      <c r="AE233" s="138"/>
      <c r="AF233" s="138"/>
      <c r="AG233" s="1"/>
      <c r="AH233" s="126" t="s">
        <v>79</v>
      </c>
      <c r="AI233" s="126"/>
      <c r="AJ233" s="126"/>
    </row>
    <row r="234" spans="23:36" ht="15.75" thickBot="1">
      <c r="W234" s="128" t="s">
        <v>80</v>
      </c>
      <c r="X234" s="130" t="s">
        <v>81</v>
      </c>
      <c r="Y234" s="130" t="s">
        <v>82</v>
      </c>
      <c r="Z234" s="130" t="s">
        <v>83</v>
      </c>
      <c r="AA234" s="130" t="s">
        <v>84</v>
      </c>
      <c r="AB234" s="132"/>
      <c r="AC234" s="1"/>
      <c r="AD234" s="139"/>
      <c r="AE234" s="139"/>
      <c r="AF234" s="139"/>
      <c r="AG234" s="1"/>
      <c r="AH234" s="127"/>
      <c r="AI234" s="127"/>
      <c r="AJ234" s="127"/>
    </row>
    <row r="235" spans="23:36" ht="24.75" thickBot="1">
      <c r="W235" s="129"/>
      <c r="X235" s="131"/>
      <c r="Y235" s="131"/>
      <c r="Z235" s="131"/>
      <c r="AA235" s="59" t="s">
        <v>85</v>
      </c>
      <c r="AB235" s="61" t="s">
        <v>86</v>
      </c>
      <c r="AC235" s="1"/>
      <c r="AD235" s="12" t="s">
        <v>87</v>
      </c>
      <c r="AE235" s="13" t="s">
        <v>88</v>
      </c>
      <c r="AF235" s="14" t="s">
        <v>83</v>
      </c>
      <c r="AG235" s="1"/>
      <c r="AH235" s="85" t="s">
        <v>89</v>
      </c>
      <c r="AI235" s="72" t="s">
        <v>88</v>
      </c>
      <c r="AJ235" s="65" t="s">
        <v>83</v>
      </c>
    </row>
    <row r="236" spans="23:36" ht="15.75" thickBot="1">
      <c r="W236" s="86">
        <v>1</v>
      </c>
      <c r="X236" s="72">
        <v>2</v>
      </c>
      <c r="Y236" s="72">
        <v>3</v>
      </c>
      <c r="Z236" s="72">
        <v>4</v>
      </c>
      <c r="AA236" s="72">
        <v>5</v>
      </c>
      <c r="AB236" s="65">
        <v>6</v>
      </c>
      <c r="AC236" s="1"/>
      <c r="AD236" s="86">
        <v>1</v>
      </c>
      <c r="AE236" s="72">
        <v>2</v>
      </c>
      <c r="AF236" s="65">
        <v>3</v>
      </c>
      <c r="AG236" s="1"/>
      <c r="AH236" s="87" t="s">
        <v>90</v>
      </c>
      <c r="AI236" s="88">
        <f>E155</f>
        <v>135.5</v>
      </c>
      <c r="AJ236" s="89">
        <v>100</v>
      </c>
    </row>
    <row r="237" spans="23:36" ht="14.25" customHeight="1">
      <c r="W237" s="90">
        <v>1</v>
      </c>
      <c r="X237" s="91" t="s">
        <v>91</v>
      </c>
      <c r="Y237" s="92">
        <f>Y238+Y239+Y240+Y241+Y242+Y243</f>
        <v>106.69784187009169</v>
      </c>
      <c r="Z237" s="92">
        <f>Z238+Z239+Z240+Z241+Z242+Z243</f>
        <v>78.743794738075053</v>
      </c>
      <c r="AA237" s="92">
        <f>AA238+AA240</f>
        <v>872.61699999999996</v>
      </c>
      <c r="AB237" s="89"/>
      <c r="AC237" s="1"/>
      <c r="AD237" s="94" t="s">
        <v>92</v>
      </c>
      <c r="AE237" s="36"/>
      <c r="AF237" s="95"/>
      <c r="AG237" s="1"/>
      <c r="AH237" s="17" t="s">
        <v>93</v>
      </c>
      <c r="AI237" s="43"/>
      <c r="AJ237" s="67"/>
    </row>
    <row r="238" spans="23:36" ht="14.25" customHeight="1">
      <c r="W238" s="66">
        <v>2</v>
      </c>
      <c r="X238" s="18" t="s">
        <v>94</v>
      </c>
      <c r="Y238" s="97">
        <f>Y261*AA238/AA261</f>
        <v>106.69784187009169</v>
      </c>
      <c r="Z238" s="97">
        <f>Y238*100/Y261</f>
        <v>78.743794738075053</v>
      </c>
      <c r="AA238" s="97">
        <f>N195</f>
        <v>872.61699999999996</v>
      </c>
      <c r="AB238" s="67"/>
      <c r="AC238" s="1"/>
      <c r="AD238" s="66" t="s">
        <v>95</v>
      </c>
      <c r="AE238" s="43"/>
      <c r="AF238" s="98"/>
      <c r="AG238" s="1"/>
      <c r="AH238" s="17" t="s">
        <v>96</v>
      </c>
      <c r="AI238" s="43"/>
      <c r="AJ238" s="67"/>
    </row>
    <row r="239" spans="23:36" ht="14.25" customHeight="1">
      <c r="W239" s="66">
        <v>3</v>
      </c>
      <c r="X239" s="18" t="s">
        <v>97</v>
      </c>
      <c r="Y239" s="97"/>
      <c r="Z239" s="97"/>
      <c r="AA239" s="43"/>
      <c r="AB239" s="67"/>
      <c r="AC239" s="1"/>
      <c r="AD239" s="66" t="s">
        <v>98</v>
      </c>
      <c r="AE239" s="43">
        <f>E21+E117+E118+E119+E130+E136+E137+E141+E143+E39+E40</f>
        <v>9.1999999999999993</v>
      </c>
      <c r="AF239" s="98">
        <f>AE239*100/AE261</f>
        <v>6.7896678966789663</v>
      </c>
      <c r="AG239" s="1"/>
      <c r="AH239" s="17" t="s">
        <v>99</v>
      </c>
      <c r="AI239" s="43"/>
      <c r="AJ239" s="67"/>
    </row>
    <row r="240" spans="23:36" ht="14.25" customHeight="1">
      <c r="W240" s="66">
        <v>4</v>
      </c>
      <c r="X240" s="18" t="s">
        <v>100</v>
      </c>
      <c r="Y240" s="97"/>
      <c r="Z240" s="97"/>
      <c r="AA240" s="43"/>
      <c r="AB240" s="67"/>
      <c r="AC240" s="1"/>
      <c r="AD240" s="66" t="s">
        <v>101</v>
      </c>
      <c r="AE240" s="43"/>
      <c r="AF240" s="98"/>
      <c r="AG240" s="1"/>
      <c r="AH240" s="17" t="s">
        <v>102</v>
      </c>
      <c r="AI240" s="43"/>
      <c r="AJ240" s="67"/>
    </row>
    <row r="241" spans="23:36" ht="14.25" customHeight="1">
      <c r="W241" s="66">
        <v>5</v>
      </c>
      <c r="X241" s="18" t="s">
        <v>103</v>
      </c>
      <c r="Y241" s="97"/>
      <c r="Z241" s="97"/>
      <c r="AA241" s="43"/>
      <c r="AB241" s="67"/>
      <c r="AC241" s="1"/>
      <c r="AD241" s="66" t="s">
        <v>104</v>
      </c>
      <c r="AE241" s="43"/>
      <c r="AF241" s="98"/>
      <c r="AG241" s="1"/>
      <c r="AH241" s="17" t="s">
        <v>105</v>
      </c>
      <c r="AI241" s="43"/>
      <c r="AJ241" s="67"/>
    </row>
    <row r="242" spans="23:36" ht="14.25" customHeight="1" thickBot="1">
      <c r="W242" s="66">
        <v>6</v>
      </c>
      <c r="X242" s="18" t="s">
        <v>106</v>
      </c>
      <c r="Y242" s="97"/>
      <c r="Z242" s="97"/>
      <c r="AA242" s="43"/>
      <c r="AB242" s="67"/>
      <c r="AC242" s="1"/>
      <c r="AD242" s="66" t="s">
        <v>107</v>
      </c>
      <c r="AE242" s="43"/>
      <c r="AF242" s="98"/>
      <c r="AG242" s="1"/>
      <c r="AH242" s="68" t="s">
        <v>108</v>
      </c>
      <c r="AI242" s="69"/>
      <c r="AJ242" s="71"/>
    </row>
    <row r="243" spans="23:36" ht="14.25" customHeight="1" thickBot="1">
      <c r="W243" s="66">
        <v>7</v>
      </c>
      <c r="X243" s="18" t="s">
        <v>108</v>
      </c>
      <c r="Y243" s="97"/>
      <c r="Z243" s="97"/>
      <c r="AA243" s="43"/>
      <c r="AB243" s="67"/>
      <c r="AC243" s="1"/>
      <c r="AD243" s="66" t="s">
        <v>109</v>
      </c>
      <c r="AE243" s="43"/>
      <c r="AF243" s="98"/>
      <c r="AG243" s="1"/>
      <c r="AH243" s="99" t="s">
        <v>110</v>
      </c>
      <c r="AI243" s="100">
        <f>AI236</f>
        <v>135.5</v>
      </c>
      <c r="AJ243" s="100">
        <f>AJ236</f>
        <v>100</v>
      </c>
    </row>
    <row r="244" spans="23:36" ht="14.25" customHeight="1">
      <c r="W244" s="66">
        <v>8</v>
      </c>
      <c r="X244" s="18" t="s">
        <v>111</v>
      </c>
      <c r="Y244" s="101">
        <f>Y245+Y246+Y251</f>
        <v>27.921765241581543</v>
      </c>
      <c r="Z244" s="101">
        <f>Z245+Z246+Z251</f>
        <v>20.606468812975308</v>
      </c>
      <c r="AA244" s="101">
        <f>AA245+AA246+AA251</f>
        <v>228.35519999999997</v>
      </c>
      <c r="AB244" s="67"/>
      <c r="AC244" s="1"/>
      <c r="AD244" s="66" t="s">
        <v>112</v>
      </c>
      <c r="AE244" s="43"/>
      <c r="AF244" s="98"/>
      <c r="AG244" s="1"/>
      <c r="AH244" s="7"/>
      <c r="AI244" s="1"/>
      <c r="AJ244" s="1"/>
    </row>
    <row r="245" spans="23:36" ht="14.25" customHeight="1">
      <c r="W245" s="66">
        <v>9</v>
      </c>
      <c r="X245" s="18" t="s">
        <v>113</v>
      </c>
      <c r="Y245" s="97">
        <f>Y261*AA245/AA261</f>
        <v>6.8874034852338859</v>
      </c>
      <c r="Z245" s="97">
        <f>Y245*100/Y261</f>
        <v>5.0829546016486242</v>
      </c>
      <c r="AA245" s="97">
        <f>O195</f>
        <v>56.327899999999993</v>
      </c>
      <c r="AB245" s="67"/>
      <c r="AC245" s="1"/>
      <c r="AD245" s="66" t="s">
        <v>114</v>
      </c>
      <c r="AE245" s="43">
        <f>E22+E23+E24+E25+E27+E28+E29+E57+E58+E59+E63+E66+E71+E72+E73+E75+E77+E78+E79+E80+E81+E82+E88+E89+E91+E93+E94+E95+E96+E101+E102+E104+E105+E106+E107+E108+E110+E111+E116+E120+E121+E125+E126+E127+E128+E129+E131+E132+E138+E139+E140+E144+E145+E146+E147+E148+E149+E150+E151+E36+E37+E38+E43+E44+E47+E48+E49+E50+E51</f>
        <v>89.499999999999986</v>
      </c>
      <c r="AF245" s="98">
        <f>AE245*100/AE261</f>
        <v>66.051660516605153</v>
      </c>
      <c r="AG245" s="1"/>
      <c r="AH245" s="7"/>
      <c r="AI245" s="1"/>
      <c r="AJ245" s="1"/>
    </row>
    <row r="246" spans="23:36" ht="14.25" customHeight="1">
      <c r="W246" s="66">
        <v>10</v>
      </c>
      <c r="X246" s="18" t="s">
        <v>115</v>
      </c>
      <c r="Y246" s="97">
        <f>Y261*AA246/AA261</f>
        <v>1.8047552889785021</v>
      </c>
      <c r="Z246" s="97">
        <f>Y246*100/Y261</f>
        <v>1.3319227224933594</v>
      </c>
      <c r="AA246" s="97">
        <f>Q195</f>
        <v>14.76</v>
      </c>
      <c r="AB246" s="67"/>
      <c r="AC246" s="1"/>
      <c r="AD246" s="66" t="s">
        <v>116</v>
      </c>
      <c r="AE246" s="43">
        <f>E26+E60+E61+E62+E64+E65+E67+E68+E69+E70+E74+E76+E103+E112+E45+E52+E53</f>
        <v>19.899999999999999</v>
      </c>
      <c r="AF246" s="98">
        <f>AE246*100/AE261</f>
        <v>14.686346863468634</v>
      </c>
      <c r="AG246" s="1"/>
      <c r="AH246" s="119" t="s">
        <v>117</v>
      </c>
      <c r="AI246" s="119"/>
      <c r="AJ246" s="119"/>
    </row>
    <row r="247" spans="23:36" ht="14.25" customHeight="1" thickBot="1">
      <c r="W247" s="66">
        <v>11</v>
      </c>
      <c r="X247" s="18" t="s">
        <v>118</v>
      </c>
      <c r="Y247" s="97"/>
      <c r="Z247" s="97"/>
      <c r="AA247" s="43"/>
      <c r="AB247" s="67"/>
      <c r="AC247" s="1"/>
      <c r="AD247" s="66" t="s">
        <v>119</v>
      </c>
      <c r="AE247" s="43"/>
      <c r="AF247" s="98"/>
      <c r="AG247" s="1"/>
      <c r="AH247" s="7"/>
      <c r="AI247" s="1"/>
      <c r="AJ247" s="1"/>
    </row>
    <row r="248" spans="23:36" ht="14.25" customHeight="1">
      <c r="W248" s="66">
        <v>12</v>
      </c>
      <c r="X248" s="18" t="s">
        <v>120</v>
      </c>
      <c r="Y248" s="97"/>
      <c r="Z248" s="97"/>
      <c r="AA248" s="43"/>
      <c r="AB248" s="67"/>
      <c r="AC248" s="1"/>
      <c r="AD248" s="66" t="s">
        <v>121</v>
      </c>
      <c r="AE248" s="43"/>
      <c r="AF248" s="98"/>
      <c r="AG248" s="1"/>
      <c r="AH248" s="90" t="s">
        <v>122</v>
      </c>
      <c r="AI248" s="93" t="s">
        <v>88</v>
      </c>
      <c r="AJ248" s="89" t="s">
        <v>83</v>
      </c>
    </row>
    <row r="249" spans="23:36" ht="14.25" customHeight="1">
      <c r="W249" s="66">
        <v>13</v>
      </c>
      <c r="X249" s="18" t="s">
        <v>123</v>
      </c>
      <c r="Y249" s="97"/>
      <c r="Z249" s="97"/>
      <c r="AA249" s="97"/>
      <c r="AB249" s="67"/>
      <c r="AC249" s="1"/>
      <c r="AD249" s="66" t="s">
        <v>124</v>
      </c>
      <c r="AE249" s="43"/>
      <c r="AF249" s="98"/>
      <c r="AG249" s="1"/>
      <c r="AH249" s="17" t="s">
        <v>125</v>
      </c>
      <c r="AI249" s="97">
        <f>AI236</f>
        <v>135.5</v>
      </c>
      <c r="AJ249" s="67">
        <v>100</v>
      </c>
    </row>
    <row r="250" spans="23:36" ht="14.25" customHeight="1" thickBot="1">
      <c r="W250" s="66">
        <v>14</v>
      </c>
      <c r="X250" s="18" t="s">
        <v>126</v>
      </c>
      <c r="Y250" s="97"/>
      <c r="Z250" s="97"/>
      <c r="AA250" s="97"/>
      <c r="AB250" s="67"/>
      <c r="AC250" s="1"/>
      <c r="AD250" s="66" t="s">
        <v>127</v>
      </c>
      <c r="AE250" s="43"/>
      <c r="AF250" s="98"/>
      <c r="AG250" s="1"/>
      <c r="AH250" s="68" t="s">
        <v>128</v>
      </c>
      <c r="AI250" s="107"/>
      <c r="AJ250" s="71"/>
    </row>
    <row r="251" spans="23:36" ht="14.25" customHeight="1" thickBot="1">
      <c r="W251" s="66">
        <v>15</v>
      </c>
      <c r="X251" s="18" t="s">
        <v>129</v>
      </c>
      <c r="Y251" s="97">
        <f>Y261*AA251/AA261</f>
        <v>19.229606467369155</v>
      </c>
      <c r="Z251" s="97">
        <f>Y251*100/Y261</f>
        <v>14.191591488833325</v>
      </c>
      <c r="AA251" s="97">
        <f>P195</f>
        <v>157.26729999999998</v>
      </c>
      <c r="AB251" s="67"/>
      <c r="AC251" s="1"/>
      <c r="AD251" s="66" t="s">
        <v>130</v>
      </c>
      <c r="AE251" s="43">
        <f>E84+E90+E92+E100+E109+E142+E33+E34+E35+E41+E42+E46</f>
        <v>15.399999999999999</v>
      </c>
      <c r="AF251" s="98">
        <f>AE251*100/AE261</f>
        <v>11.36531365313653</v>
      </c>
      <c r="AG251" s="1"/>
      <c r="AH251" s="99" t="s">
        <v>110</v>
      </c>
      <c r="AI251" s="72"/>
      <c r="AJ251" s="65"/>
    </row>
    <row r="252" spans="23:36" ht="14.25" customHeight="1">
      <c r="W252" s="66">
        <v>16</v>
      </c>
      <c r="X252" s="18" t="s">
        <v>131</v>
      </c>
      <c r="Y252" s="97"/>
      <c r="Z252" s="97"/>
      <c r="AA252" s="43"/>
      <c r="AB252" s="67"/>
      <c r="AC252" s="1"/>
      <c r="AD252" s="66" t="s">
        <v>132</v>
      </c>
      <c r="AE252" s="43">
        <f>E83</f>
        <v>1.5</v>
      </c>
      <c r="AF252" s="98">
        <f>AE252*100/AE261</f>
        <v>1.1070110701107012</v>
      </c>
      <c r="AG252" s="1"/>
      <c r="AH252" s="1"/>
      <c r="AI252" s="1"/>
      <c r="AJ252" s="1"/>
    </row>
    <row r="253" spans="23:36" ht="14.25" customHeight="1" thickBot="1">
      <c r="W253" s="66">
        <v>17</v>
      </c>
      <c r="X253" s="18" t="s">
        <v>133</v>
      </c>
      <c r="Y253" s="97"/>
      <c r="Z253" s="97"/>
      <c r="AA253" s="43"/>
      <c r="AB253" s="67"/>
      <c r="AC253" s="1"/>
      <c r="AD253" s="66" t="s">
        <v>134</v>
      </c>
      <c r="AE253" s="43"/>
      <c r="AF253" s="67"/>
      <c r="AG253" s="1"/>
      <c r="AH253" s="123" t="s">
        <v>135</v>
      </c>
      <c r="AI253" s="123"/>
      <c r="AJ253" s="123"/>
    </row>
    <row r="254" spans="23:36" ht="14.25" customHeight="1">
      <c r="W254" s="66">
        <v>18</v>
      </c>
      <c r="X254" s="18" t="s">
        <v>136</v>
      </c>
      <c r="Y254" s="97"/>
      <c r="Z254" s="97"/>
      <c r="AA254" s="43"/>
      <c r="AB254" s="67"/>
      <c r="AC254" s="1"/>
      <c r="AD254" s="66" t="s">
        <v>137</v>
      </c>
      <c r="AE254" s="43"/>
      <c r="AF254" s="67"/>
      <c r="AG254" s="1"/>
      <c r="AH254" s="90" t="s">
        <v>138</v>
      </c>
      <c r="AI254" s="93" t="s">
        <v>88</v>
      </c>
      <c r="AJ254" s="89" t="s">
        <v>83</v>
      </c>
    </row>
    <row r="255" spans="23:36" ht="14.25" customHeight="1">
      <c r="W255" s="66">
        <v>19</v>
      </c>
      <c r="X255" s="18" t="s">
        <v>139</v>
      </c>
      <c r="Y255" s="97"/>
      <c r="Z255" s="97"/>
      <c r="AA255" s="43"/>
      <c r="AB255" s="67"/>
      <c r="AC255" s="1"/>
      <c r="AD255" s="66" t="s">
        <v>140</v>
      </c>
      <c r="AE255" s="43"/>
      <c r="AF255" s="67"/>
      <c r="AG255" s="1"/>
      <c r="AH255" s="102" t="s">
        <v>141</v>
      </c>
      <c r="AI255" s="44"/>
      <c r="AJ255" s="103"/>
    </row>
    <row r="256" spans="23:36" ht="14.25" customHeight="1">
      <c r="W256" s="66">
        <v>20</v>
      </c>
      <c r="X256" s="18" t="s">
        <v>142</v>
      </c>
      <c r="Y256" s="97"/>
      <c r="Z256" s="97"/>
      <c r="AA256" s="43"/>
      <c r="AB256" s="67"/>
      <c r="AC256" s="1"/>
      <c r="AD256" s="66" t="s">
        <v>143</v>
      </c>
      <c r="AE256" s="43"/>
      <c r="AF256" s="67"/>
      <c r="AG256" s="1"/>
      <c r="AH256" s="66" t="s">
        <v>144</v>
      </c>
      <c r="AI256" s="97">
        <f>AI236</f>
        <v>135.5</v>
      </c>
      <c r="AJ256" s="67">
        <v>100</v>
      </c>
    </row>
    <row r="257" spans="23:36" ht="14.25" customHeight="1">
      <c r="W257" s="66">
        <v>21</v>
      </c>
      <c r="X257" s="18" t="s">
        <v>145</v>
      </c>
      <c r="Y257" s="97"/>
      <c r="Z257" s="97"/>
      <c r="AA257" s="43"/>
      <c r="AB257" s="67"/>
      <c r="AC257" s="1"/>
      <c r="AD257" s="66" t="s">
        <v>146</v>
      </c>
      <c r="AE257" s="43"/>
      <c r="AF257" s="67"/>
      <c r="AG257" s="1"/>
      <c r="AH257" s="66" t="s">
        <v>147</v>
      </c>
      <c r="AI257" s="43"/>
      <c r="AJ257" s="67"/>
    </row>
    <row r="258" spans="23:36" ht="14.25" customHeight="1" thickBot="1">
      <c r="W258" s="66">
        <v>22</v>
      </c>
      <c r="X258" s="18" t="s">
        <v>148</v>
      </c>
      <c r="Y258" s="97"/>
      <c r="Z258" s="97"/>
      <c r="AA258" s="43"/>
      <c r="AB258" s="67"/>
      <c r="AC258" s="1"/>
      <c r="AD258" s="66" t="s">
        <v>149</v>
      </c>
      <c r="AE258" s="43"/>
      <c r="AF258" s="67"/>
      <c r="AG258" s="1"/>
      <c r="AH258" s="104" t="s">
        <v>150</v>
      </c>
      <c r="AI258" s="69"/>
      <c r="AJ258" s="71"/>
    </row>
    <row r="259" spans="23:36" ht="14.25" customHeight="1" thickBot="1">
      <c r="W259" s="66">
        <v>23</v>
      </c>
      <c r="X259" s="18" t="s">
        <v>151</v>
      </c>
      <c r="Y259" s="97"/>
      <c r="Z259" s="97"/>
      <c r="AA259" s="43"/>
      <c r="AB259" s="67"/>
      <c r="AC259" s="1"/>
      <c r="AD259" s="66" t="s">
        <v>152</v>
      </c>
      <c r="AE259" s="43"/>
      <c r="AF259" s="67"/>
      <c r="AG259" s="1"/>
      <c r="AH259" s="99" t="s">
        <v>110</v>
      </c>
      <c r="AI259" s="73">
        <f>AI256+AI258</f>
        <v>135.5</v>
      </c>
      <c r="AJ259" s="73">
        <f>AJ256+AJ258</f>
        <v>100</v>
      </c>
    </row>
    <row r="260" spans="23:36" ht="14.25" customHeight="1" thickBot="1">
      <c r="W260" s="104">
        <v>24</v>
      </c>
      <c r="X260" s="105" t="s">
        <v>108</v>
      </c>
      <c r="Y260" s="107">
        <f>Y261*AA260/AA261</f>
        <v>0.88039288832676221</v>
      </c>
      <c r="Z260" s="97">
        <f>Y260*100/Y261</f>
        <v>0.64973644894964</v>
      </c>
      <c r="AA260" s="107">
        <f>R195</f>
        <v>7.2002000000000006</v>
      </c>
      <c r="AB260" s="71"/>
      <c r="AC260" s="1"/>
      <c r="AD260" s="104" t="s">
        <v>153</v>
      </c>
      <c r="AE260" s="69"/>
      <c r="AF260" s="71"/>
      <c r="AG260" s="1"/>
      <c r="AH260" s="1"/>
      <c r="AI260" s="1"/>
      <c r="AJ260" s="1"/>
    </row>
    <row r="261" spans="23:36" ht="14.25" customHeight="1" thickBot="1">
      <c r="W261" s="121" t="s">
        <v>110</v>
      </c>
      <c r="X261" s="122"/>
      <c r="Y261" s="73">
        <f>E155</f>
        <v>135.5</v>
      </c>
      <c r="Z261" s="73">
        <f>Z237+Z244+Z260</f>
        <v>100</v>
      </c>
      <c r="AA261" s="73">
        <f>AA238+AA245+AA246+AA251+AA260</f>
        <v>1108.1723999999999</v>
      </c>
      <c r="AB261" s="73">
        <f>AB245</f>
        <v>0</v>
      </c>
      <c r="AC261" s="1"/>
      <c r="AD261" s="99" t="s">
        <v>110</v>
      </c>
      <c r="AE261" s="73">
        <f>SUM(AE237:AE260)</f>
        <v>135.5</v>
      </c>
      <c r="AF261" s="73">
        <f>SUM(AF237:AF260)</f>
        <v>99.999999999999972</v>
      </c>
      <c r="AG261" s="1"/>
      <c r="AH261" s="1"/>
      <c r="AI261" s="1"/>
      <c r="AJ261" s="1"/>
    </row>
    <row r="262" spans="23:36"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3:36" ht="15.75" customHeight="1">
      <c r="W263" s="1"/>
      <c r="X263" s="1"/>
      <c r="Y263" s="133" t="s">
        <v>179</v>
      </c>
      <c r="Z263" s="133"/>
      <c r="AA263" s="133"/>
      <c r="AB263" s="133"/>
      <c r="AC263" s="133"/>
      <c r="AD263" s="133"/>
      <c r="AE263" s="133"/>
      <c r="AF263" s="133"/>
      <c r="AG263" s="133"/>
      <c r="AH263" s="1"/>
      <c r="AI263" s="1"/>
      <c r="AJ263" s="1"/>
    </row>
    <row r="264" spans="23:36" ht="11.25" customHeight="1">
      <c r="W264" s="1"/>
      <c r="X264" s="1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"/>
      <c r="AI264" s="1"/>
      <c r="AJ264" s="1"/>
    </row>
    <row r="265" spans="23:36" ht="12" customHeight="1">
      <c r="Y265" s="133" t="s">
        <v>154</v>
      </c>
      <c r="Z265" s="133"/>
      <c r="AA265" s="133"/>
      <c r="AB265" s="133"/>
      <c r="AC265" s="133"/>
      <c r="AD265" s="133"/>
      <c r="AE265" s="133"/>
      <c r="AF265" s="133"/>
      <c r="AG265" s="133"/>
      <c r="AH265" s="134"/>
      <c r="AI265" s="134"/>
      <c r="AJ265" s="134"/>
    </row>
    <row r="266" spans="23:36" ht="12" customHeight="1"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4"/>
      <c r="AI266" s="4"/>
      <c r="AJ266" s="4"/>
    </row>
    <row r="267" spans="23:36" ht="15" customHeight="1"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4"/>
      <c r="AI267" s="4"/>
      <c r="AJ267" s="4"/>
    </row>
    <row r="268" spans="23:36">
      <c r="W268" s="135" t="s">
        <v>155</v>
      </c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</row>
    <row r="269" spans="23:36" ht="13.5" customHeight="1">
      <c r="W269" s="136" t="s">
        <v>156</v>
      </c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</row>
    <row r="270" spans="23:36" ht="15.75" thickBot="1">
      <c r="W270" s="123" t="s">
        <v>77</v>
      </c>
      <c r="X270" s="123"/>
      <c r="Y270" s="123"/>
      <c r="Z270" s="123"/>
      <c r="AA270" s="123"/>
      <c r="AB270" s="123"/>
      <c r="AC270" s="1"/>
      <c r="AD270" s="124" t="s">
        <v>78</v>
      </c>
      <c r="AE270" s="124"/>
      <c r="AF270" s="124"/>
      <c r="AG270" s="1"/>
      <c r="AH270" s="126" t="s">
        <v>79</v>
      </c>
      <c r="AI270" s="126"/>
      <c r="AJ270" s="126"/>
    </row>
    <row r="271" spans="23:36" ht="11.25" customHeight="1" thickBot="1">
      <c r="W271" s="128" t="s">
        <v>80</v>
      </c>
      <c r="X271" s="130" t="s">
        <v>81</v>
      </c>
      <c r="Y271" s="130" t="s">
        <v>82</v>
      </c>
      <c r="Z271" s="130" t="s">
        <v>83</v>
      </c>
      <c r="AA271" s="130" t="s">
        <v>84</v>
      </c>
      <c r="AB271" s="132"/>
      <c r="AC271" s="1"/>
      <c r="AD271" s="125"/>
      <c r="AE271" s="125"/>
      <c r="AF271" s="125"/>
      <c r="AG271" s="1"/>
      <c r="AH271" s="127"/>
      <c r="AI271" s="127"/>
      <c r="AJ271" s="127"/>
    </row>
    <row r="272" spans="23:36" ht="20.25" customHeight="1" thickBot="1">
      <c r="W272" s="129"/>
      <c r="X272" s="131"/>
      <c r="Y272" s="131"/>
      <c r="Z272" s="131"/>
      <c r="AA272" s="59" t="s">
        <v>85</v>
      </c>
      <c r="AB272" s="61" t="s">
        <v>86</v>
      </c>
      <c r="AC272" s="1"/>
      <c r="AD272" s="12" t="s">
        <v>87</v>
      </c>
      <c r="AE272" s="13" t="s">
        <v>88</v>
      </c>
      <c r="AF272" s="14" t="s">
        <v>83</v>
      </c>
      <c r="AG272" s="1"/>
      <c r="AH272" s="85" t="s">
        <v>89</v>
      </c>
      <c r="AI272" s="72" t="s">
        <v>88</v>
      </c>
      <c r="AJ272" s="65" t="s">
        <v>83</v>
      </c>
    </row>
    <row r="273" spans="23:36" ht="15.75" thickBot="1">
      <c r="W273" s="86">
        <v>1</v>
      </c>
      <c r="X273" s="72">
        <v>2</v>
      </c>
      <c r="Y273" s="72">
        <v>3</v>
      </c>
      <c r="Z273" s="72">
        <v>4</v>
      </c>
      <c r="AA273" s="72">
        <v>5</v>
      </c>
      <c r="AB273" s="65">
        <v>6</v>
      </c>
      <c r="AC273" s="1"/>
      <c r="AD273" s="86">
        <v>1</v>
      </c>
      <c r="AE273" s="72">
        <v>2</v>
      </c>
      <c r="AF273" s="65">
        <v>3</v>
      </c>
      <c r="AG273" s="1"/>
      <c r="AH273" s="87" t="s">
        <v>90</v>
      </c>
      <c r="AI273" s="88">
        <f>Y298</f>
        <v>67.7</v>
      </c>
      <c r="AJ273" s="89">
        <v>100</v>
      </c>
    </row>
    <row r="274" spans="23:36" ht="14.25" customHeight="1">
      <c r="W274" s="90">
        <v>1</v>
      </c>
      <c r="X274" s="91" t="s">
        <v>91</v>
      </c>
      <c r="Y274" s="92"/>
      <c r="Z274" s="93"/>
      <c r="AA274" s="93"/>
      <c r="AB274" s="89"/>
      <c r="AC274" s="1"/>
      <c r="AD274" s="94" t="s">
        <v>92</v>
      </c>
      <c r="AE274" s="36"/>
      <c r="AF274" s="95"/>
      <c r="AG274" s="1"/>
      <c r="AH274" s="17" t="s">
        <v>93</v>
      </c>
      <c r="AI274" s="43"/>
      <c r="AJ274" s="67"/>
    </row>
    <row r="275" spans="23:36" ht="14.25" customHeight="1">
      <c r="W275" s="66">
        <v>2</v>
      </c>
      <c r="X275" s="18" t="s">
        <v>94</v>
      </c>
      <c r="Y275" s="96"/>
      <c r="Z275" s="97"/>
      <c r="AA275" s="97"/>
      <c r="AB275" s="67"/>
      <c r="AC275" s="1"/>
      <c r="AD275" s="66" t="s">
        <v>95</v>
      </c>
      <c r="AE275" s="43"/>
      <c r="AF275" s="98"/>
      <c r="AG275" s="1"/>
      <c r="AH275" s="17" t="s">
        <v>96</v>
      </c>
      <c r="AI275" s="43"/>
      <c r="AJ275" s="67"/>
    </row>
    <row r="276" spans="23:36" ht="14.25" customHeight="1">
      <c r="W276" s="66">
        <v>3</v>
      </c>
      <c r="X276" s="18" t="s">
        <v>97</v>
      </c>
      <c r="Y276" s="97"/>
      <c r="Z276" s="97"/>
      <c r="AA276" s="43"/>
      <c r="AB276" s="67"/>
      <c r="AC276" s="1"/>
      <c r="AD276" s="66" t="s">
        <v>98</v>
      </c>
      <c r="AE276" s="43"/>
      <c r="AF276" s="98"/>
      <c r="AG276" s="1"/>
      <c r="AH276" s="17" t="s">
        <v>157</v>
      </c>
      <c r="AI276" s="43"/>
      <c r="AJ276" s="67"/>
    </row>
    <row r="277" spans="23:36" ht="14.25" customHeight="1">
      <c r="W277" s="66">
        <v>4</v>
      </c>
      <c r="X277" s="18" t="s">
        <v>100</v>
      </c>
      <c r="Y277" s="97"/>
      <c r="Z277" s="97"/>
      <c r="AA277" s="43"/>
      <c r="AB277" s="67"/>
      <c r="AC277" s="1"/>
      <c r="AD277" s="66" t="s">
        <v>101</v>
      </c>
      <c r="AE277" s="43"/>
      <c r="AF277" s="98"/>
      <c r="AG277" s="1"/>
      <c r="AH277" s="17" t="s">
        <v>102</v>
      </c>
      <c r="AI277" s="43"/>
      <c r="AJ277" s="67"/>
    </row>
    <row r="278" spans="23:36" ht="14.25" customHeight="1">
      <c r="W278" s="66">
        <v>5</v>
      </c>
      <c r="X278" s="18" t="s">
        <v>103</v>
      </c>
      <c r="Y278" s="97"/>
      <c r="Z278" s="97"/>
      <c r="AA278" s="43"/>
      <c r="AB278" s="67"/>
      <c r="AC278" s="1"/>
      <c r="AD278" s="66" t="s">
        <v>104</v>
      </c>
      <c r="AE278" s="43"/>
      <c r="AF278" s="98"/>
      <c r="AG278" s="1"/>
      <c r="AH278" s="17" t="s">
        <v>158</v>
      </c>
      <c r="AI278" s="43"/>
      <c r="AJ278" s="67"/>
    </row>
    <row r="279" spans="23:36" ht="14.25" customHeight="1" thickBot="1">
      <c r="W279" s="66">
        <v>6</v>
      </c>
      <c r="X279" s="18" t="s">
        <v>106</v>
      </c>
      <c r="Y279" s="97"/>
      <c r="Z279" s="97"/>
      <c r="AA279" s="43"/>
      <c r="AB279" s="67"/>
      <c r="AC279" s="1"/>
      <c r="AD279" s="66" t="s">
        <v>107</v>
      </c>
      <c r="AE279" s="43"/>
      <c r="AF279" s="98"/>
      <c r="AG279" s="1"/>
      <c r="AH279" s="68" t="s">
        <v>108</v>
      </c>
      <c r="AI279" s="69"/>
      <c r="AJ279" s="71"/>
    </row>
    <row r="280" spans="23:36" ht="14.25" customHeight="1" thickBot="1">
      <c r="W280" s="66">
        <v>7</v>
      </c>
      <c r="X280" s="18" t="s">
        <v>108</v>
      </c>
      <c r="Y280" s="97"/>
      <c r="Z280" s="97"/>
      <c r="AA280" s="43"/>
      <c r="AB280" s="67"/>
      <c r="AC280" s="1"/>
      <c r="AD280" s="66" t="s">
        <v>109</v>
      </c>
      <c r="AE280" s="43"/>
      <c r="AF280" s="98"/>
      <c r="AG280" s="1"/>
      <c r="AH280" s="99" t="s">
        <v>110</v>
      </c>
      <c r="AI280" s="72"/>
      <c r="AJ280" s="65"/>
    </row>
    <row r="281" spans="23:36" ht="14.25" customHeight="1">
      <c r="W281" s="66">
        <v>8</v>
      </c>
      <c r="X281" s="18" t="s">
        <v>111</v>
      </c>
      <c r="Y281" s="101"/>
      <c r="Z281" s="97"/>
      <c r="AA281" s="43"/>
      <c r="AB281" s="67"/>
      <c r="AC281" s="1"/>
      <c r="AD281" s="66" t="s">
        <v>112</v>
      </c>
      <c r="AE281" s="43"/>
      <c r="AF281" s="98"/>
      <c r="AG281" s="1"/>
      <c r="AH281" s="7"/>
      <c r="AI281" s="1"/>
      <c r="AJ281" s="1"/>
    </row>
    <row r="282" spans="23:36" ht="14.25" customHeight="1">
      <c r="W282" s="66">
        <v>9</v>
      </c>
      <c r="X282" s="18" t="s">
        <v>113</v>
      </c>
      <c r="Y282" s="96"/>
      <c r="Z282" s="97"/>
      <c r="AA282" s="97"/>
      <c r="AB282" s="67"/>
      <c r="AC282" s="1"/>
      <c r="AD282" s="66" t="s">
        <v>114</v>
      </c>
      <c r="AE282" s="43">
        <f>E190+E184</f>
        <v>2.4000000000000004</v>
      </c>
      <c r="AF282" s="98">
        <f>AE282*100/AE298</f>
        <v>3.5450516986706067</v>
      </c>
      <c r="AG282" s="1"/>
      <c r="AH282" s="7"/>
      <c r="AI282" s="1"/>
      <c r="AJ282" s="1"/>
    </row>
    <row r="283" spans="23:36" ht="14.25" customHeight="1">
      <c r="W283" s="66">
        <v>10</v>
      </c>
      <c r="X283" s="18" t="s">
        <v>115</v>
      </c>
      <c r="Y283" s="97"/>
      <c r="Z283" s="97"/>
      <c r="AA283" s="43"/>
      <c r="AB283" s="67"/>
      <c r="AC283" s="1"/>
      <c r="AD283" s="66" t="s">
        <v>116</v>
      </c>
      <c r="AE283" s="43">
        <f>E162+E164+E165+E174+E175+E188+E189</f>
        <v>20.100000000000001</v>
      </c>
      <c r="AF283" s="98">
        <f>AE283*100/AE298</f>
        <v>29.689807976366332</v>
      </c>
      <c r="AG283" s="1"/>
      <c r="AH283" s="119" t="s">
        <v>117</v>
      </c>
      <c r="AI283" s="119"/>
      <c r="AJ283" s="119"/>
    </row>
    <row r="284" spans="23:36" ht="14.25" customHeight="1" thickBot="1">
      <c r="W284" s="66">
        <v>11</v>
      </c>
      <c r="X284" s="18" t="s">
        <v>118</v>
      </c>
      <c r="Y284" s="97"/>
      <c r="Z284" s="97"/>
      <c r="AA284" s="43"/>
      <c r="AB284" s="67"/>
      <c r="AC284" s="1"/>
      <c r="AD284" s="66" t="s">
        <v>119</v>
      </c>
      <c r="AE284" s="43"/>
      <c r="AF284" s="98"/>
      <c r="AG284" s="1"/>
      <c r="AH284" s="7"/>
      <c r="AI284" s="1"/>
      <c r="AJ284" s="1"/>
    </row>
    <row r="285" spans="23:36" ht="14.25" customHeight="1">
      <c r="W285" s="66">
        <v>12</v>
      </c>
      <c r="X285" s="18" t="s">
        <v>120</v>
      </c>
      <c r="Y285" s="97"/>
      <c r="Z285" s="97"/>
      <c r="AA285" s="43"/>
      <c r="AB285" s="67"/>
      <c r="AC285" s="1"/>
      <c r="AD285" s="66" t="s">
        <v>121</v>
      </c>
      <c r="AE285" s="43"/>
      <c r="AF285" s="98"/>
      <c r="AG285" s="1"/>
      <c r="AH285" s="90" t="s">
        <v>122</v>
      </c>
      <c r="AI285" s="93" t="s">
        <v>88</v>
      </c>
      <c r="AJ285" s="89" t="s">
        <v>83</v>
      </c>
    </row>
    <row r="286" spans="23:36" ht="14.25" customHeight="1">
      <c r="W286" s="66">
        <v>13</v>
      </c>
      <c r="X286" s="18" t="s">
        <v>123</v>
      </c>
      <c r="Y286" s="97"/>
      <c r="Z286" s="97"/>
      <c r="AA286" s="97"/>
      <c r="AB286" s="67"/>
      <c r="AC286" s="1"/>
      <c r="AD286" s="66" t="s">
        <v>124</v>
      </c>
      <c r="AE286" s="43"/>
      <c r="AF286" s="98"/>
      <c r="AG286" s="1"/>
      <c r="AH286" s="17" t="s">
        <v>125</v>
      </c>
      <c r="AI286" s="97"/>
      <c r="AJ286" s="67"/>
    </row>
    <row r="287" spans="23:36" ht="14.25" customHeight="1" thickBot="1">
      <c r="W287" s="66">
        <v>14</v>
      </c>
      <c r="X287" s="18" t="s">
        <v>126</v>
      </c>
      <c r="Y287" s="97"/>
      <c r="Z287" s="97"/>
      <c r="AA287" s="43"/>
      <c r="AB287" s="67"/>
      <c r="AC287" s="1"/>
      <c r="AD287" s="66" t="s">
        <v>127</v>
      </c>
      <c r="AE287" s="43"/>
      <c r="AF287" s="98"/>
      <c r="AG287" s="1"/>
      <c r="AH287" s="68" t="s">
        <v>128</v>
      </c>
      <c r="AI287" s="69"/>
      <c r="AJ287" s="71"/>
    </row>
    <row r="288" spans="23:36" ht="14.25" customHeight="1" thickBot="1">
      <c r="W288" s="66">
        <v>15</v>
      </c>
      <c r="X288" s="18" t="s">
        <v>129</v>
      </c>
      <c r="Y288" s="96">
        <f>E160+E162+E163+E164+E165+E166+E169+E170+E174+E175+E179+E180+E184+E188+E189+E190</f>
        <v>44.8</v>
      </c>
      <c r="Z288" s="97">
        <f>Y288*100/Y298</f>
        <v>66.174298375184634</v>
      </c>
      <c r="AA288" s="97"/>
      <c r="AB288" s="67"/>
      <c r="AC288" s="1"/>
      <c r="AD288" s="66" t="s">
        <v>130</v>
      </c>
      <c r="AE288" s="43">
        <f>E180</f>
        <v>0.5</v>
      </c>
      <c r="AF288" s="98">
        <f>AE288*100/AE298</f>
        <v>0.73855243722304298</v>
      </c>
      <c r="AG288" s="1"/>
      <c r="AH288" s="99" t="s">
        <v>110</v>
      </c>
      <c r="AI288" s="72"/>
      <c r="AJ288" s="65"/>
    </row>
    <row r="289" spans="23:36" ht="14.25" customHeight="1">
      <c r="W289" s="66">
        <v>16</v>
      </c>
      <c r="X289" s="18" t="s">
        <v>131</v>
      </c>
      <c r="Y289" s="97"/>
      <c r="Z289" s="97"/>
      <c r="AA289" s="43"/>
      <c r="AB289" s="67"/>
      <c r="AC289" s="1"/>
      <c r="AD289" s="66" t="s">
        <v>132</v>
      </c>
      <c r="AE289" s="43">
        <f>E160+E161+E163+E166+E168+E169+E170+E171+E179</f>
        <v>33.099999999999994</v>
      </c>
      <c r="AF289" s="98">
        <f>AE289*100/AE298</f>
        <v>48.89217134416544</v>
      </c>
      <c r="AG289" s="1"/>
      <c r="AH289" s="1"/>
      <c r="AI289" s="1"/>
      <c r="AJ289" s="1"/>
    </row>
    <row r="290" spans="23:36" ht="14.25" customHeight="1" thickBot="1">
      <c r="W290" s="66">
        <v>17</v>
      </c>
      <c r="X290" s="18" t="s">
        <v>159</v>
      </c>
      <c r="Y290" s="97"/>
      <c r="Z290" s="97"/>
      <c r="AA290" s="43"/>
      <c r="AB290" s="67"/>
      <c r="AC290" s="1"/>
      <c r="AD290" s="66" t="s">
        <v>134</v>
      </c>
      <c r="AE290" s="43">
        <f>E167+E178+E183+E187</f>
        <v>11.600000000000001</v>
      </c>
      <c r="AF290" s="98">
        <f>AE290*100/AE298</f>
        <v>17.134416543574599</v>
      </c>
      <c r="AG290" s="1"/>
      <c r="AH290" s="120" t="s">
        <v>135</v>
      </c>
      <c r="AI290" s="120"/>
      <c r="AJ290" s="120"/>
    </row>
    <row r="291" spans="23:36" ht="14.25" customHeight="1">
      <c r="W291" s="66">
        <v>18</v>
      </c>
      <c r="X291" s="18" t="s">
        <v>136</v>
      </c>
      <c r="Y291" s="97"/>
      <c r="Z291" s="97"/>
      <c r="AA291" s="43"/>
      <c r="AB291" s="67"/>
      <c r="AC291" s="1"/>
      <c r="AD291" s="66" t="s">
        <v>137</v>
      </c>
      <c r="AE291" s="43"/>
      <c r="AF291" s="67"/>
      <c r="AG291" s="1"/>
      <c r="AH291" s="90" t="s">
        <v>138</v>
      </c>
      <c r="AI291" s="93" t="s">
        <v>88</v>
      </c>
      <c r="AJ291" s="89" t="s">
        <v>83</v>
      </c>
    </row>
    <row r="292" spans="23:36" ht="14.25" customHeight="1">
      <c r="W292" s="66">
        <v>19</v>
      </c>
      <c r="X292" s="18" t="s">
        <v>139</v>
      </c>
      <c r="Y292" s="97">
        <f>E167+E171+E178+E183+E187</f>
        <v>16.600000000000001</v>
      </c>
      <c r="Z292" s="97">
        <f>Y292*100/Y298</f>
        <v>24.519940915805023</v>
      </c>
      <c r="AA292" s="43"/>
      <c r="AB292" s="67"/>
      <c r="AC292" s="1"/>
      <c r="AD292" s="66" t="s">
        <v>140</v>
      </c>
      <c r="AE292" s="43"/>
      <c r="AF292" s="67"/>
      <c r="AG292" s="1"/>
      <c r="AH292" s="102" t="s">
        <v>160</v>
      </c>
      <c r="AI292" s="44"/>
      <c r="AJ292" s="103"/>
    </row>
    <row r="293" spans="23:36" ht="14.25" customHeight="1">
      <c r="W293" s="66">
        <v>20</v>
      </c>
      <c r="X293" s="18" t="s">
        <v>142</v>
      </c>
      <c r="Y293" s="97"/>
      <c r="Z293" s="97"/>
      <c r="AA293" s="43"/>
      <c r="AB293" s="67"/>
      <c r="AC293" s="1"/>
      <c r="AD293" s="66" t="s">
        <v>143</v>
      </c>
      <c r="AE293" s="43"/>
      <c r="AF293" s="67"/>
      <c r="AG293" s="1"/>
      <c r="AH293" s="66" t="s">
        <v>144</v>
      </c>
      <c r="AI293" s="97"/>
      <c r="AJ293" s="67"/>
    </row>
    <row r="294" spans="23:36" ht="14.25" customHeight="1">
      <c r="W294" s="66">
        <v>21</v>
      </c>
      <c r="X294" s="18" t="s">
        <v>145</v>
      </c>
      <c r="Y294" s="97"/>
      <c r="Z294" s="97"/>
      <c r="AA294" s="43"/>
      <c r="AB294" s="67"/>
      <c r="AC294" s="1"/>
      <c r="AD294" s="66" t="s">
        <v>146</v>
      </c>
      <c r="AE294" s="43"/>
      <c r="AF294" s="67"/>
      <c r="AG294" s="1"/>
      <c r="AH294" s="66" t="s">
        <v>161</v>
      </c>
      <c r="AI294" s="43"/>
      <c r="AJ294" s="67"/>
    </row>
    <row r="295" spans="23:36" ht="14.25" customHeight="1" thickBot="1">
      <c r="W295" s="66">
        <v>22</v>
      </c>
      <c r="X295" s="18" t="s">
        <v>148</v>
      </c>
      <c r="Y295" s="97">
        <f>E161+E168</f>
        <v>6.3</v>
      </c>
      <c r="Z295" s="97">
        <f>Y295*100/Y298</f>
        <v>9.3057607090103396</v>
      </c>
      <c r="AA295" s="43"/>
      <c r="AB295" s="67"/>
      <c r="AC295" s="1"/>
      <c r="AD295" s="66" t="s">
        <v>149</v>
      </c>
      <c r="AE295" s="43"/>
      <c r="AF295" s="67"/>
      <c r="AG295" s="1"/>
      <c r="AH295" s="104" t="s">
        <v>150</v>
      </c>
      <c r="AI295" s="69"/>
      <c r="AJ295" s="71"/>
    </row>
    <row r="296" spans="23:36" ht="14.25" customHeight="1" thickBot="1">
      <c r="W296" s="66">
        <v>23</v>
      </c>
      <c r="X296" s="18" t="s">
        <v>151</v>
      </c>
      <c r="Y296" s="97"/>
      <c r="Z296" s="97"/>
      <c r="AA296" s="43"/>
      <c r="AB296" s="67"/>
      <c r="AC296" s="1"/>
      <c r="AD296" s="66" t="s">
        <v>152</v>
      </c>
      <c r="AE296" s="43"/>
      <c r="AF296" s="67"/>
      <c r="AG296" s="1"/>
      <c r="AH296" s="99" t="s">
        <v>110</v>
      </c>
      <c r="AI296" s="73">
        <f>AI293+AI295</f>
        <v>0</v>
      </c>
      <c r="AJ296" s="73">
        <f>AJ293+AJ295</f>
        <v>0</v>
      </c>
    </row>
    <row r="297" spans="23:36" ht="14.25" customHeight="1" thickBot="1">
      <c r="W297" s="104">
        <v>24</v>
      </c>
      <c r="X297" s="105" t="s">
        <v>108</v>
      </c>
      <c r="Y297" s="106"/>
      <c r="Z297" s="97"/>
      <c r="AA297" s="107"/>
      <c r="AB297" s="71"/>
      <c r="AC297" s="1"/>
      <c r="AD297" s="104" t="s">
        <v>153</v>
      </c>
      <c r="AE297" s="69"/>
      <c r="AF297" s="71"/>
      <c r="AG297" s="1"/>
      <c r="AH297" s="1"/>
      <c r="AI297" s="1"/>
      <c r="AJ297" s="1"/>
    </row>
    <row r="298" spans="23:36" ht="14.25" customHeight="1" thickBot="1">
      <c r="W298" s="121" t="s">
        <v>110</v>
      </c>
      <c r="X298" s="122"/>
      <c r="Y298" s="73">
        <f>Y275+Y276+Y277+Y278+Y279+Y280+Y281+Y282+Y283+Y284+Y285+Y286+Y287+Y288+Y289+Y290+Y291+Y292+Y293+Y294+Y295+Y296+Y297</f>
        <v>67.7</v>
      </c>
      <c r="Z298" s="73">
        <f>Z275+Z276+Z277+Z278+Z279+Z280+Z281+Z282+Z283+Z284+Z285+Z286+Z287+Z288+Z289+Z290+Z291+Z292+Z293+Z294+Z295+Z296+Z297</f>
        <v>100</v>
      </c>
      <c r="AA298" s="73">
        <v>0</v>
      </c>
      <c r="AB298" s="73">
        <f>AB282</f>
        <v>0</v>
      </c>
      <c r="AC298" s="1"/>
      <c r="AD298" s="99" t="s">
        <v>110</v>
      </c>
      <c r="AE298" s="73">
        <f>SUM(AE274:AE297)</f>
        <v>67.699999999999989</v>
      </c>
      <c r="AF298" s="110">
        <f>SUM(AF274:AF297)</f>
        <v>100.00000000000001</v>
      </c>
      <c r="AG298" s="1"/>
      <c r="AH298" s="1"/>
      <c r="AI298" s="1"/>
      <c r="AJ298" s="1"/>
    </row>
    <row r="299" spans="23:36"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3:36" ht="8.25" customHeight="1"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3:36" ht="15.75" customHeight="1">
      <c r="W301" s="1"/>
      <c r="X301" s="118" t="s">
        <v>179</v>
      </c>
      <c r="Y301" s="118"/>
      <c r="Z301" s="118"/>
      <c r="AA301" s="118"/>
      <c r="AB301" s="118"/>
      <c r="AC301" s="118"/>
      <c r="AD301" s="118"/>
      <c r="AE301" s="118"/>
      <c r="AF301" s="118"/>
      <c r="AG301" s="1"/>
      <c r="AH301" s="1"/>
      <c r="AI301" s="1"/>
      <c r="AJ301" s="1"/>
    </row>
    <row r="302" spans="23:36" ht="13.5" customHeight="1">
      <c r="W302" s="1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"/>
      <c r="AH302" s="1"/>
      <c r="AI302" s="1"/>
      <c r="AJ302" s="1"/>
    </row>
    <row r="303" spans="23:36" ht="15.75" customHeight="1">
      <c r="W303" s="1"/>
      <c r="X303" s="118" t="s">
        <v>154</v>
      </c>
      <c r="Y303" s="118"/>
      <c r="Z303" s="118"/>
      <c r="AA303" s="118"/>
      <c r="AB303" s="118"/>
      <c r="AC303" s="118"/>
      <c r="AD303" s="118"/>
      <c r="AE303" s="118"/>
      <c r="AF303" s="118"/>
      <c r="AG303" s="1"/>
      <c r="AH303" s="1"/>
      <c r="AI303" s="1"/>
      <c r="AJ303" s="1"/>
    </row>
    <row r="307" spans="27:27">
      <c r="AA307" s="116"/>
    </row>
  </sheetData>
  <mergeCells count="75">
    <mergeCell ref="A7:I7"/>
    <mergeCell ref="N7:U7"/>
    <mergeCell ref="A8:G8"/>
    <mergeCell ref="N8:U8"/>
    <mergeCell ref="A9:F9"/>
    <mergeCell ref="N9:U9"/>
    <mergeCell ref="A10:U10"/>
    <mergeCell ref="A12:U12"/>
    <mergeCell ref="A11:U11"/>
    <mergeCell ref="L2:W2"/>
    <mergeCell ref="L3:W3"/>
    <mergeCell ref="Q5:U5"/>
    <mergeCell ref="A6:C6"/>
    <mergeCell ref="N6:U6"/>
    <mergeCell ref="A13:U13"/>
    <mergeCell ref="A14:U14"/>
    <mergeCell ref="A15:A17"/>
    <mergeCell ref="B15:B17"/>
    <mergeCell ref="C15:C17"/>
    <mergeCell ref="D15:D17"/>
    <mergeCell ref="E15:E17"/>
    <mergeCell ref="F15:F17"/>
    <mergeCell ref="G15:G17"/>
    <mergeCell ref="U15:U17"/>
    <mergeCell ref="K15:K17"/>
    <mergeCell ref="L15:L17"/>
    <mergeCell ref="I16:I17"/>
    <mergeCell ref="J16:J17"/>
    <mergeCell ref="M16:M17"/>
    <mergeCell ref="N16:T16"/>
    <mergeCell ref="A56:U56"/>
    <mergeCell ref="A87:U87"/>
    <mergeCell ref="A99:U99"/>
    <mergeCell ref="A115:U115"/>
    <mergeCell ref="M15:T15"/>
    <mergeCell ref="A19:U19"/>
    <mergeCell ref="A20:U20"/>
    <mergeCell ref="A32:U32"/>
    <mergeCell ref="H15:H17"/>
    <mergeCell ref="I15:J15"/>
    <mergeCell ref="X234:X235"/>
    <mergeCell ref="Y234:Y235"/>
    <mergeCell ref="Z234:Z235"/>
    <mergeCell ref="AA234:AB234"/>
    <mergeCell ref="A124:U124"/>
    <mergeCell ref="A135:U135"/>
    <mergeCell ref="A156:U156"/>
    <mergeCell ref="A159:U159"/>
    <mergeCell ref="AH246:AJ246"/>
    <mergeCell ref="AH253:AJ253"/>
    <mergeCell ref="W261:X261"/>
    <mergeCell ref="Y263:AG263"/>
    <mergeCell ref="W231:AJ231"/>
    <mergeCell ref="W232:AJ232"/>
    <mergeCell ref="W233:AB233"/>
    <mergeCell ref="AD233:AF234"/>
    <mergeCell ref="AH233:AJ234"/>
    <mergeCell ref="W234:W235"/>
    <mergeCell ref="Y271:Y272"/>
    <mergeCell ref="Z271:Z272"/>
    <mergeCell ref="AA271:AB271"/>
    <mergeCell ref="Y265:AG265"/>
    <mergeCell ref="AH265:AJ265"/>
    <mergeCell ref="W268:AJ268"/>
    <mergeCell ref="W269:AJ269"/>
    <mergeCell ref="X303:AF303"/>
    <mergeCell ref="AH283:AJ283"/>
    <mergeCell ref="AH290:AJ290"/>
    <mergeCell ref="W298:X298"/>
    <mergeCell ref="X301:AF301"/>
    <mergeCell ref="W270:AB270"/>
    <mergeCell ref="AD270:AF271"/>
    <mergeCell ref="AH270:AJ271"/>
    <mergeCell ref="W271:W272"/>
    <mergeCell ref="X271:X272"/>
  </mergeCells>
  <phoneticPr fontId="0" type="noConversion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User</cp:lastModifiedBy>
  <cp:lastPrinted>2018-01-11T07:21:08Z</cp:lastPrinted>
  <dcterms:created xsi:type="dcterms:W3CDTF">2017-12-28T07:42:48Z</dcterms:created>
  <dcterms:modified xsi:type="dcterms:W3CDTF">2018-01-15T09:55:32Z</dcterms:modified>
</cp:coreProperties>
</file>